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alcChain.xml" ContentType="application/vnd.openxmlformats-officedocument.spreadsheetml.calcChain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Zaloha\Dokumentace\TimNet velky\systemy\"/>
    </mc:Choice>
  </mc:AlternateContent>
  <xr:revisionPtr revIDLastSave="0" documentId="13_ncr:1_{3EDBA9D8-8A2A-49FE-8568-03310068AE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yber_system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4" i="1" l="1"/>
  <c r="G46" i="1"/>
  <c r="G47" i="1"/>
  <c r="G48" i="1"/>
  <c r="G49" i="1"/>
  <c r="G43" i="1"/>
  <c r="G44" i="1"/>
  <c r="J48" i="1" s="1"/>
  <c r="G45" i="1"/>
  <c r="G42" i="1"/>
  <c r="N3" i="1" s="1"/>
  <c r="G37" i="1"/>
  <c r="G31" i="1"/>
  <c r="G32" i="1"/>
  <c r="G33" i="1"/>
  <c r="G34" i="1"/>
  <c r="G35" i="1"/>
  <c r="G36" i="1"/>
  <c r="G22" i="1"/>
  <c r="G26" i="1"/>
  <c r="G27" i="1"/>
  <c r="J39" i="1" s="1"/>
  <c r="G28" i="1"/>
  <c r="G29" i="1"/>
  <c r="G21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N65" i="1" l="1"/>
  <c r="N66" i="1"/>
  <c r="N69" i="1"/>
  <c r="N64" i="1"/>
  <c r="N67" i="1"/>
  <c r="N68" i="1"/>
  <c r="N63" i="1"/>
  <c r="N6" i="1"/>
  <c r="N13" i="1"/>
  <c r="N5" i="1"/>
  <c r="N61" i="1"/>
  <c r="N60" i="1"/>
  <c r="N59" i="1"/>
  <c r="N58" i="1"/>
  <c r="N62" i="1"/>
  <c r="N57" i="1"/>
  <c r="N54" i="1"/>
  <c r="N44" i="1"/>
  <c r="N43" i="1"/>
  <c r="N52" i="1"/>
  <c r="N46" i="1"/>
  <c r="N48" i="1"/>
  <c r="N55" i="1"/>
  <c r="N56" i="1"/>
  <c r="N47" i="1"/>
  <c r="N53" i="1"/>
  <c r="N45" i="1"/>
  <c r="N29" i="1"/>
  <c r="N30" i="1"/>
  <c r="N14" i="1"/>
  <c r="N15" i="1"/>
  <c r="N41" i="1"/>
  <c r="N50" i="1"/>
  <c r="N42" i="1"/>
  <c r="N51" i="1"/>
  <c r="N40" i="1"/>
  <c r="N49" i="1"/>
  <c r="N25" i="1"/>
  <c r="N37" i="1"/>
  <c r="N27" i="1"/>
  <c r="N39" i="1"/>
  <c r="N38" i="1"/>
  <c r="N28" i="1"/>
  <c r="N35" i="1"/>
  <c r="N34" i="1"/>
  <c r="N26" i="1"/>
  <c r="N36" i="1"/>
  <c r="N33" i="1"/>
  <c r="N24" i="1"/>
  <c r="N22" i="1"/>
  <c r="N31" i="1"/>
  <c r="N23" i="1"/>
  <c r="N32" i="1"/>
  <c r="N21" i="1"/>
  <c r="N12" i="1"/>
  <c r="N11" i="1"/>
  <c r="N19" i="1"/>
  <c r="N20" i="1"/>
  <c r="N18" i="1"/>
  <c r="N10" i="1"/>
  <c r="N9" i="1"/>
  <c r="N17" i="1"/>
  <c r="G38" i="1"/>
  <c r="G39" i="1" s="1"/>
  <c r="N16" i="1"/>
  <c r="N8" i="1"/>
  <c r="N7" i="1"/>
  <c r="N4" i="1"/>
  <c r="N2" i="1"/>
  <c r="J18" i="1"/>
  <c r="G50" i="1"/>
  <c r="G18" i="1"/>
  <c r="G19" i="1" s="1"/>
  <c r="J58" i="1" l="1"/>
  <c r="G51" i="1"/>
  <c r="C58" i="1" s="1"/>
  <c r="J47" i="1"/>
  <c r="J49" i="1"/>
  <c r="J19" i="1"/>
  <c r="J37" i="1"/>
  <c r="J38" i="1"/>
  <c r="J17" i="1"/>
  <c r="J59" i="1" l="1"/>
  <c r="C59" i="1"/>
  <c r="D59" i="1" s="1"/>
</calcChain>
</file>

<file path=xl/python.xml><?xml version="1.0" encoding="utf-8"?>
<python xmlns="http://schemas.microsoft.com/office/spreadsheetml/2023/python">
  <environmentDefinition id="{882DD1B0-6546-4DFA-8A08-902A380B44EA}">
    <initialization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</python>
</file>

<file path=xl/sharedStrings.xml><?xml version="1.0" encoding="utf-8"?>
<sst xmlns="http://schemas.openxmlformats.org/spreadsheetml/2006/main" count="150" uniqueCount="137">
  <si>
    <t>Teplotní čidla</t>
  </si>
  <si>
    <t>Spaliny</t>
  </si>
  <si>
    <t>Spaliny 2 (např.: sopouch)</t>
  </si>
  <si>
    <t>Teplovodní výměník</t>
  </si>
  <si>
    <t>AKU nádrž vrch</t>
  </si>
  <si>
    <t>AKU nádrž spodek</t>
  </si>
  <si>
    <t>Topná voda okruh 1</t>
  </si>
  <si>
    <t>Pokojová teplota 1</t>
  </si>
  <si>
    <t>Bojler</t>
  </si>
  <si>
    <t>Univerzální teplota 1</t>
  </si>
  <si>
    <t>Univerzální teplota 2</t>
  </si>
  <si>
    <t>Univerzální teplota 3</t>
  </si>
  <si>
    <t>Univerzální teplota 4</t>
  </si>
  <si>
    <t>Venkovní teplota</t>
  </si>
  <si>
    <t>SUM</t>
  </si>
  <si>
    <t>jednotka</t>
  </si>
  <si>
    <t>Pokojová teplota 2. okruh</t>
  </si>
  <si>
    <t>Topná voda okruh 2. okruh</t>
  </si>
  <si>
    <t xml:space="preserve">// výběr tn500: </t>
  </si>
  <si>
    <t xml:space="preserve">// výběr tn400: </t>
  </si>
  <si>
    <t>// výběr tn300</t>
  </si>
  <si>
    <t>Relé</t>
  </si>
  <si>
    <t>Kotel</t>
  </si>
  <si>
    <t>Topná patrona</t>
  </si>
  <si>
    <t>Digestoř</t>
  </si>
  <si>
    <t>Rekuperace</t>
  </si>
  <si>
    <t>Spalinový ventilátor</t>
  </si>
  <si>
    <t>Následující funkce relé nepřednastaví systém, je nutné je v aplikaci nastavit ručně</t>
  </si>
  <si>
    <t>Servopohony</t>
  </si>
  <si>
    <t>Zátopová klapka</t>
  </si>
  <si>
    <t>Přepínání voda/akumulační tah</t>
  </si>
  <si>
    <t>Směšování do systému - okruh 1</t>
  </si>
  <si>
    <t>Směšování do systému - okruh 2</t>
  </si>
  <si>
    <t>Čištění teplovodního výměníku</t>
  </si>
  <si>
    <t>Požadavek na směšování vody do topných okruhů</t>
  </si>
  <si>
    <t>Na statickou teplotu</t>
  </si>
  <si>
    <t>Na proměnlivou teplotu na základě venkovní teploty (ekvitemní vytápění)</t>
  </si>
  <si>
    <t>// vytápění</t>
  </si>
  <si>
    <t>Není směšování vody do systému</t>
  </si>
  <si>
    <t>Jednotka</t>
  </si>
  <si>
    <t>Počet komponentů</t>
  </si>
  <si>
    <t>hoření + čidlo vstup do komína</t>
  </si>
  <si>
    <t>hoření + zátopová klapka</t>
  </si>
  <si>
    <t>hoření + čidlo vstup do komína + zátopová klapka</t>
  </si>
  <si>
    <t>TV + AKU s 1 čidlem</t>
  </si>
  <si>
    <t>TV + AKU s 2 čidly - radiátory</t>
  </si>
  <si>
    <t>TV + AKU s 2 čidly - podlahové vytápění</t>
  </si>
  <si>
    <t>TV + AKU s 2 čidly + bojler - radiátory</t>
  </si>
  <si>
    <t>TV + AKU s 2 čidly + klapka voda/tah - radiátory</t>
  </si>
  <si>
    <t>TV + AKU s 2 čidly + bojler + klapka voda/tah - radiátory</t>
  </si>
  <si>
    <t>TV + AKU s 2 čidly + zátopová klapka + klapka voda/tah - radiátory</t>
  </si>
  <si>
    <t>TV + AKU s 2 čidly + bojler + zátopová klapka + klapka voda/tah - radiátory</t>
  </si>
  <si>
    <t>TV + AKU s 2 čidly + zátopová klapka + klapka voda/tah + 2. TČ v sopouchu - radiátory</t>
  </si>
  <si>
    <t>TV + AKU s 2 čidly + bojler + zátopová klapka + klapka voda/tah + 2. TČ v sopouchu - radiátory</t>
  </si>
  <si>
    <t>TV + AKU s 2 čidly + bojler - podlahové vytápění</t>
  </si>
  <si>
    <t>TV + AKU s 2 čidly + klapka voda/tah - podlahové vytápění</t>
  </si>
  <si>
    <t>TV + AKU s 2 čidly + bojler + klapka voda/tah - podlahové vytápění</t>
  </si>
  <si>
    <t>TV + AKU s 2 čidly + zátopová klapka + klapka voda/tah - podlahové vytápění</t>
  </si>
  <si>
    <t>TV + AKU s 2 čidly + bojler + zátopová klapka + klapka voda/tah - podlahové vytápění</t>
  </si>
  <si>
    <t>TV + AKU s 2 čidly + zátopová klapka + klapka voda/tah + 2. TČ v sopouchu - podlahové vytápění</t>
  </si>
  <si>
    <t>TV + AKU s 2 čidly + bojler + zátopová klapka + klapka voda/tah + 2. TČ v sopouchu - podlahové vytápění</t>
  </si>
  <si>
    <t>TV + AKU s 2 čidly + termostat + OČ systém - radiátory</t>
  </si>
  <si>
    <t>TV + AKU s 2 čidly + termostat + OČ systém + kotel - radiátory</t>
  </si>
  <si>
    <t>TV + AKU s 2 čidly + termostat + OČ systém + topná patrona - radiátory</t>
  </si>
  <si>
    <t>TV + AKU s 1 čidlem + bojler + termostat + OČ systém - radiátory</t>
  </si>
  <si>
    <t>TV + AKU s 1 čidlem + bojler + termostat + OČ systém + kotel - radiátory</t>
  </si>
  <si>
    <t>TV + AKU s 1 čidlem + bojler + termostat + OČ systém + topná patrona - radiátory</t>
  </si>
  <si>
    <t>TV + AKU s 1 čidlem + termostat + ekviterm + OČ systém - radiátory</t>
  </si>
  <si>
    <t>TV + AKU s 1 čidlem + termostat + ekviterm + OČ systém + kotel - radiátory</t>
  </si>
  <si>
    <t>TV + AKU s 1 čidlem + termostat + ekviterm + OČ systém + topná patrona - radiátory</t>
  </si>
  <si>
    <t>TV + AKU s 2 čidly + termostat + OČ systém - podlahové vytápění</t>
  </si>
  <si>
    <t>TV + AKU s 2 čidly + termostat + OČ systém + kotel - podlahové vytápění</t>
  </si>
  <si>
    <t>TV + AKU s 2 čidly + termostat + OČ systém + topná patrona - podlahové vytápění</t>
  </si>
  <si>
    <t>TV + AKU s 1 čidlem + bojler + termostat + OČ systém - podlahové vytápění</t>
  </si>
  <si>
    <t>TV + AKU s 1 čidlem + bojler + termostat + OČ systém + kotel - podlahové vytápění</t>
  </si>
  <si>
    <t>TV + AKU s 1 čidlem + bojler + termostat + OČ systém + topná patrona - podlahové vytápění</t>
  </si>
  <si>
    <t>TV + AKU s 1 čidlem + termostat + ekviterm + OČ systém - podlahové vytápění</t>
  </si>
  <si>
    <t>TV + AKU s 1 čidlem + termostat + ekviterm + OČ systém + kotel - podlahové vytápění</t>
  </si>
  <si>
    <t>TV + AKU s 1 čidlem + termostat + ekviterm + OČ systém + topná patrona - podlahové vytápění</t>
  </si>
  <si>
    <t>TV + AKU s 2 čidly + bojler + termostat + OČ systém - radiátory</t>
  </si>
  <si>
    <t>TV + AKU s 2 čidly + bojler + termostat + OČ systém + kotel - radiátory</t>
  </si>
  <si>
    <t>TV + AKU s 2 čidly + bojler + termostat + OČ systém + topná patrona - radiátory</t>
  </si>
  <si>
    <t>TV + AKU s 2 čidly + termostat + ekviterm + OČ systém - radiátory</t>
  </si>
  <si>
    <t>TV + AKU s 2 čidly + termostat + ekviterm + OČ systém + kotel - radiátory</t>
  </si>
  <si>
    <t>TV + AKU s 2 čidly + termostat + ekviterm + OČ systém + topná patrona - radiátory</t>
  </si>
  <si>
    <t>TV + AKU s 2 čidly + bojler + termostat + ekviterm + OČ systém - radiátory</t>
  </si>
  <si>
    <t>TV + AKU s 2 čidly + bojler + termostat + ekviterm + OČ systém + kotel - radiátory</t>
  </si>
  <si>
    <t>TV + AKU s 2 čidly + bojler + termostat + ekviterm + OČ systém + topná patrona - radiátory</t>
  </si>
  <si>
    <t>TV + AKU s 2 čidly + bojler + termostat + OČ systém - podlahové vytápění</t>
  </si>
  <si>
    <t>TV + AKU s 2 čidly + bojler + termostat + OČ systém + kotel - podlahové vytápění</t>
  </si>
  <si>
    <t>TV + AKU s 2 čidly + bojler + termostat + OČ systém + topná patrona - podlahové vytápění</t>
  </si>
  <si>
    <t>TV + AKU s 2 čidly + termostat + ekviterm + OČ systém - podlahové vytápění</t>
  </si>
  <si>
    <t>TV + AKU s 2 čidly + termostat + ekviterm + OČ systém + kotel - podlahové vytápění</t>
  </si>
  <si>
    <t>TV + AKU s 2 čidly + termostat + ekviterm + OČ systém + topná patrona - podlahové vytápění</t>
  </si>
  <si>
    <t>TV + AKU s 2 čidly + bojler + termostat + ekviterm + OČ systém - podlahové vytápění</t>
  </si>
  <si>
    <t>TV + AKU s 2 čidly + bojler + termostat + ekviterm + OČ systém + kotel - podlahové vytápění</t>
  </si>
  <si>
    <t>TV + AKU s 2 čidly + bojler + termostat + ekviterm + OČ systém + topná patrona - podlahové vytápění</t>
  </si>
  <si>
    <t>TV + AKU s 2 čidly + 2x termostat + 2x OČ systém - podlahové vyt. + radiátory</t>
  </si>
  <si>
    <t>TV + AKU s 2 čidly + 2x termostat + 2x OČ systém + kotel - podlahové vyt. + radiátory</t>
  </si>
  <si>
    <t>TV + AKU s 2 čidly + 2x termostat + 2x OČ systém + topná patrona - podlahové vyt. + radiátory</t>
  </si>
  <si>
    <t>TV + AKU s 2 čidly + bojler + 2x termostat + 2x OČ systém - podlahové vyt. + radiátory</t>
  </si>
  <si>
    <t>TV + AKU s 2 čidly + bojler + 2x termostat + 2x OČ systém + kotel - podlahové vyt. + radiátory</t>
  </si>
  <si>
    <t>TV + AKU s 2 čidly + bojler + 2x termostat + 2x OČ systém + topná patrona- podlahové vyt. + radiátory</t>
  </si>
  <si>
    <t>TV + AKU s 2 čidly + 2x termostat + 2x ekviterm + 2x OČ systém - podlahové vyt. + radiátory</t>
  </si>
  <si>
    <t>TV + AKU s 2 čidly + 2x termostat + 2x ekviterm + 2x OČ systém + kotel - podlahové vyt. + radiátory</t>
  </si>
  <si>
    <t>TV + AKU s 2 čidly + 2x termostat + 2x ekviterm + 2x OČ systém + topná patrona - podlahové vyt. + radiátory</t>
  </si>
  <si>
    <t>TV + AKU s 2 čidly + bojler + 2x termostat + 2x ekviterm + 2x OČ systém - podlah. vyt. + radiátory</t>
  </si>
  <si>
    <t>TV + AKU s 2 čidly + bojler + 2x termostat + 2x ekviterm + 2x OČ systém + kotel - podlahové vyt. + radiátory</t>
  </si>
  <si>
    <t>TV + AKU s 2 čidly + bojler + 2x termostat + 2x ekviterm + 2x OČ systém + topná patrona- podlahové vyt. + radiátory</t>
  </si>
  <si>
    <t>//1=radiator</t>
  </si>
  <si>
    <t>Systém</t>
  </si>
  <si>
    <t>//2=podlahovka</t>
  </si>
  <si>
    <t>//3=rad+podl</t>
  </si>
  <si>
    <t>// vytápění systém</t>
  </si>
  <si>
    <t>Radiátory (1 směšovaný okruh)</t>
  </si>
  <si>
    <t>Podlahové vytápění (1 směšovaný okruh)</t>
  </si>
  <si>
    <t>Vytápění do dvou rozdílných větví (zatrhnout i čerpadlo pro druhý okruh níže)</t>
  </si>
  <si>
    <t>Systém ano/ne</t>
  </si>
  <si>
    <t>Pozn + mezivýpočty</t>
  </si>
  <si>
    <t>//definice sys</t>
  </si>
  <si>
    <t>Definice systému na základě vstupů/výstupů</t>
  </si>
  <si>
    <t>Výsledek</t>
  </si>
  <si>
    <t>// starý vzorec //</t>
  </si>
  <si>
    <t>Žlutě zvýrazněné položky mají vliv na výběr systému. Pro vyhodnocení systému je nutné</t>
  </si>
  <si>
    <t>korektně vybrat všechny potřebná čidla, ovládané zařízení i servopohony.</t>
  </si>
  <si>
    <t>Pozor!</t>
  </si>
  <si>
    <t>Čerpadlo krb (Oběhové čerpadlo primárního okruhu)</t>
  </si>
  <si>
    <t>Čerpadlo do systému</t>
  </si>
  <si>
    <t>Čerladlo do systému - druhý okruh</t>
  </si>
  <si>
    <t>Bojler - přepínání bojler/AKU nádrž nebo spínání čerpadla do bojleru</t>
  </si>
  <si>
    <t>Doba hoření (signál po celou dobu aktivního hoření)</t>
  </si>
  <si>
    <t>Chlazení (reakce na zvýšení teploty nad nastavenou teplotu čidla)</t>
  </si>
  <si>
    <t>Topení (reakce na snížení teploty pod nastavenou teplotu čidla)</t>
  </si>
  <si>
    <t>Alarm-přiložit (signál při optimální době pro přiložení paliva)</t>
  </si>
  <si>
    <t>Klapka EPV</t>
  </si>
  <si>
    <t>https://timpex.cz/pro-partnery/manualy/</t>
  </si>
  <si>
    <t>PDF dokumenty systémů: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</si>
</sst>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2" tint="-0.499984740745262"/>
      <name val="Calibri"/>
      <family val="2"/>
      <scheme val="minor"/>
    </font>
    <font>
      <i/>
      <sz val="1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11"/>
      <color theme="9" tint="-0.249977111117893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6DD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717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0" xfId="0" applyFont="1"/>
    <xf numFmtId="0" fontId="0" fillId="0" borderId="5" xfId="0" applyBorder="1"/>
    <xf numFmtId="0" fontId="2" fillId="0" borderId="0" xfId="0" applyFont="1"/>
    <xf numFmtId="0" fontId="0" fillId="5" borderId="0" xfId="0" applyFill="1"/>
    <xf numFmtId="0" fontId="0" fillId="5" borderId="5" xfId="0" applyFill="1" applyBorder="1"/>
    <xf numFmtId="0" fontId="0" fillId="5" borderId="2" xfId="0" applyFill="1" applyBorder="1"/>
    <xf numFmtId="0" fontId="0" fillId="6" borderId="2" xfId="0" applyFill="1" applyBorder="1"/>
    <xf numFmtId="0" fontId="2" fillId="0" borderId="6" xfId="0" applyFont="1" applyBorder="1"/>
    <xf numFmtId="0" fontId="3" fillId="0" borderId="8" xfId="0" applyFont="1" applyBorder="1"/>
    <xf numFmtId="0" fontId="3" fillId="0" borderId="9" xfId="0" applyFont="1" applyBorder="1" applyAlignment="1">
      <alignment horizontal="right"/>
    </xf>
    <xf numFmtId="0" fontId="0" fillId="0" borderId="10" xfId="0" applyBorder="1"/>
    <xf numFmtId="0" fontId="3" fillId="0" borderId="11" xfId="0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Alignment="1" applyProtection="1">
      <alignment vertical="top"/>
      <protection locked="0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3" fillId="0" borderId="0" xfId="0" applyFont="1" applyAlignment="1">
      <alignment vertical="center"/>
    </xf>
    <xf numFmtId="0" fontId="0" fillId="0" borderId="13" xfId="0" applyBorder="1"/>
    <xf numFmtId="0" fontId="0" fillId="0" borderId="14" xfId="0" applyBorder="1"/>
    <xf numFmtId="0" fontId="8" fillId="0" borderId="15" xfId="1" applyFont="1" applyBorder="1"/>
    <xf numFmtId="0" fontId="9" fillId="7" borderId="2" xfId="0" applyFont="1" applyFill="1" applyBorder="1"/>
    <xf numFmtId="0" fontId="6" fillId="0" borderId="0" xfId="0" applyFont="1" applyAlignment="1">
      <alignment horizontal="left"/>
    </xf>
    <xf numFmtId="0" fontId="6" fillId="0" borderId="5" xfId="0" applyFont="1" applyBorder="1" applyAlignment="1">
      <alignment horizontal="left"/>
    </xf>
    <xf numFmtId="0" fontId="0" fillId="0" borderId="12" xfId="0" applyBorder="1" applyAlignment="1">
      <alignment horizontal="left" vertical="top" wrapText="1"/>
    </xf>
    <xf numFmtId="0" fontId="0" fillId="0" borderId="0" xfId="0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5" xfId="0" applyFon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7171"/>
      <color rgb="FFFFF6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3/09/relationships/Python" Target="pyth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F$4" lockText="1" noThreeD="1"/>
</file>

<file path=xl/ctrlProps/ctrlProp2.xml><?xml version="1.0" encoding="utf-8"?>
<formControlPr xmlns="http://schemas.microsoft.com/office/spreadsheetml/2009/9/main" objectType="CheckBox" fmlaLink="$F$5" lockText="1" noThreeD="1"/>
</file>

<file path=xl/ctrlProps/ctrlProp3.xml><?xml version="1.0" encoding="utf-8"?>
<formControlPr xmlns="http://schemas.microsoft.com/office/spreadsheetml/2009/9/main" objectType="CheckBox" fmlaLink="$F$6" lockText="1" noThreeD="1"/>
</file>

<file path=xl/ctrlProps/ctrlProp4.xml><?xml version="1.0" encoding="utf-8"?>
<formControlPr xmlns="http://schemas.microsoft.com/office/spreadsheetml/2009/9/main" objectType="CheckBox" fmlaLink="$F$7" lockText="1" noThreeD="1"/>
</file>

<file path=xl/ctrlProps/ctrlProp5.xml><?xml version="1.0" encoding="utf-8"?>
<formControlPr xmlns="http://schemas.microsoft.com/office/spreadsheetml/2009/9/main" objectType="CheckBox" fmlaLink="$F$8" lockText="1" noThreeD="1"/>
</file>

<file path=xl/ctrlProps/ctrlProp6.xml><?xml version="1.0" encoding="utf-8"?>
<formControlPr xmlns="http://schemas.microsoft.com/office/spreadsheetml/2009/9/main" objectType="CheckBox" fmlaLink="$F$9" lockText="1" noThreeD="1"/>
</file>

<file path=xl/ctrlProps/ctrlProp7.xml><?xml version="1.0" encoding="utf-8"?>
<formControlPr xmlns="http://schemas.microsoft.com/office/spreadsheetml/2009/9/main" objectType="CheckBox" fmlaLink="$F$10" lockText="1" noThreeD="1"/>
</file>

<file path=xl/ctrlProps/ctrlProp8.xml><?xml version="1.0" encoding="utf-8"?>
<formControlPr xmlns="http://schemas.microsoft.com/office/spreadsheetml/2009/9/main" objectType="CheckBox" fmlaLink="$F$11" lockText="1" noThreeD="1"/>
</file>

<file path=xl/ctrlProps/ctrlProp9.xml><?xml version="1.0" encoding="utf-8"?>
<formControlPr xmlns="http://schemas.microsoft.com/office/spreadsheetml/2009/9/main" objectType="CheckBox" fmlaLink="$F$12" lockText="1" noThreeD="1"/>
</file>

<file path=xl/ctrlProps/ctrlProp10.xml><?xml version="1.0" encoding="utf-8"?>
<formControlPr xmlns="http://schemas.microsoft.com/office/spreadsheetml/2009/9/main" objectType="CheckBox" fmlaLink="$F$13" lockText="1" noThreeD="1"/>
</file>

<file path=xl/ctrlProps/ctrlProp11.xml><?xml version="1.0" encoding="utf-8"?>
<formControlPr xmlns="http://schemas.microsoft.com/office/spreadsheetml/2009/9/main" objectType="CheckBox" fmlaLink="$F$14" lockText="1" noThreeD="1"/>
</file>

<file path=xl/ctrlProps/ctrlProp12.xml><?xml version="1.0" encoding="utf-8"?>
<formControlPr xmlns="http://schemas.microsoft.com/office/spreadsheetml/2009/9/main" objectType="CheckBox" fmlaLink="$F$15" lockText="1" noThreeD="1"/>
</file>

<file path=xl/ctrlProps/ctrlProp13.xml><?xml version="1.0" encoding="utf-8"?>
<formControlPr xmlns="http://schemas.microsoft.com/office/spreadsheetml/2009/9/main" objectType="CheckBox" fmlaLink="$F$16" lockText="1" noThreeD="1"/>
</file>

<file path=xl/ctrlProps/ctrlProp14.xml><?xml version="1.0" encoding="utf-8"?>
<formControlPr xmlns="http://schemas.microsoft.com/office/spreadsheetml/2009/9/main" objectType="CheckBox" fmlaLink="$F$17" lockText="1" noThreeD="1"/>
</file>

<file path=xl/ctrlProps/ctrlProp15.xml><?xml version="1.0" encoding="utf-8"?>
<formControlPr xmlns="http://schemas.microsoft.com/office/spreadsheetml/2009/9/main" objectType="CheckBox" fmlaLink="$F$21" lockText="1" noThreeD="1"/>
</file>

<file path=xl/ctrlProps/ctrlProp16.xml><?xml version="1.0" encoding="utf-8"?>
<formControlPr xmlns="http://schemas.microsoft.com/office/spreadsheetml/2009/9/main" objectType="CheckBox" fmlaLink="$F$22" lockText="1" noThreeD="1"/>
</file>

<file path=xl/ctrlProps/ctrlProp17.xml><?xml version="1.0" encoding="utf-8"?>
<formControlPr xmlns="http://schemas.microsoft.com/office/spreadsheetml/2009/9/main" objectType="CheckBox" fmlaLink="$F$26" lockText="1" noThreeD="1"/>
</file>

<file path=xl/ctrlProps/ctrlProp18.xml><?xml version="1.0" encoding="utf-8"?>
<formControlPr xmlns="http://schemas.microsoft.com/office/spreadsheetml/2009/9/main" objectType="CheckBox" fmlaLink="$F$27" lockText="1" noThreeD="1"/>
</file>

<file path=xl/ctrlProps/ctrlProp19.xml><?xml version="1.0" encoding="utf-8"?>
<formControlPr xmlns="http://schemas.microsoft.com/office/spreadsheetml/2009/9/main" objectType="CheckBox" fmlaLink="$F$28" lockText="1" noThreeD="1"/>
</file>

<file path=xl/ctrlProps/ctrlProp20.xml><?xml version="1.0" encoding="utf-8"?>
<formControlPr xmlns="http://schemas.microsoft.com/office/spreadsheetml/2009/9/main" objectType="CheckBox" fmlaLink="$F$29" lockText="1" noThreeD="1"/>
</file>

<file path=xl/ctrlProps/ctrlProp21.xml><?xml version="1.0" encoding="utf-8"?>
<formControlPr xmlns="http://schemas.microsoft.com/office/spreadsheetml/2009/9/main" objectType="CheckBox" fmlaLink="$F$31" lockText="1" noThreeD="1"/>
</file>

<file path=xl/ctrlProps/ctrlProp22.xml><?xml version="1.0" encoding="utf-8"?>
<formControlPr xmlns="http://schemas.microsoft.com/office/spreadsheetml/2009/9/main" objectType="CheckBox" fmlaLink="$F$32" lockText="1" noThreeD="1"/>
</file>

<file path=xl/ctrlProps/ctrlProp23.xml><?xml version="1.0" encoding="utf-8"?>
<formControlPr xmlns="http://schemas.microsoft.com/office/spreadsheetml/2009/9/main" objectType="CheckBox" fmlaLink="$F$33" lockText="1" noThreeD="1"/>
</file>

<file path=xl/ctrlProps/ctrlProp24.xml><?xml version="1.0" encoding="utf-8"?>
<formControlPr xmlns="http://schemas.microsoft.com/office/spreadsheetml/2009/9/main" objectType="CheckBox" fmlaLink="$F$34" lockText="1" noThreeD="1"/>
</file>

<file path=xl/ctrlProps/ctrlProp25.xml><?xml version="1.0" encoding="utf-8"?>
<formControlPr xmlns="http://schemas.microsoft.com/office/spreadsheetml/2009/9/main" objectType="CheckBox" fmlaLink="$F$35" lockText="1" noThreeD="1"/>
</file>

<file path=xl/ctrlProps/ctrlProp26.xml><?xml version="1.0" encoding="utf-8"?>
<formControlPr xmlns="http://schemas.microsoft.com/office/spreadsheetml/2009/9/main" objectType="CheckBox" fmlaLink="$F$36" lockText="1" noThreeD="1"/>
</file>

<file path=xl/ctrlProps/ctrlProp27.xml><?xml version="1.0" encoding="utf-8"?>
<formControlPr xmlns="http://schemas.microsoft.com/office/spreadsheetml/2009/9/main" objectType="CheckBox" fmlaLink="$F$37" lockText="1" noThreeD="1"/>
</file>

<file path=xl/ctrlProps/ctrlProp28.xml><?xml version="1.0" encoding="utf-8"?>
<formControlPr xmlns="http://schemas.microsoft.com/office/spreadsheetml/2009/9/main" objectType="CheckBox" fmlaLink="$F$42" lockText="1" noThreeD="1"/>
</file>

<file path=xl/ctrlProps/ctrlProp29.xml><?xml version="1.0" encoding="utf-8"?>
<formControlPr xmlns="http://schemas.microsoft.com/office/spreadsheetml/2009/9/main" objectType="CheckBox" fmlaLink="$F$43" lockText="1" noThreeD="1"/>
</file>

<file path=xl/ctrlProps/ctrlProp30.xml><?xml version="1.0" encoding="utf-8"?>
<formControlPr xmlns="http://schemas.microsoft.com/office/spreadsheetml/2009/9/main" objectType="CheckBox" fmlaLink="$F$44" lockText="1" noThreeD="1"/>
</file>

<file path=xl/ctrlProps/ctrlProp31.xml><?xml version="1.0" encoding="utf-8"?>
<formControlPr xmlns="http://schemas.microsoft.com/office/spreadsheetml/2009/9/main" objectType="CheckBox" fmlaLink="$F$45" lockText="1" noThreeD="1"/>
</file>

<file path=xl/ctrlProps/ctrlProp32.xml><?xml version="1.0" encoding="utf-8"?>
<formControlPr xmlns="http://schemas.microsoft.com/office/spreadsheetml/2009/9/main" objectType="CheckBox" fmlaLink="$F$47" lockText="1" noThreeD="1"/>
</file>

<file path=xl/ctrlProps/ctrlProp33.xml><?xml version="1.0" encoding="utf-8"?>
<formControlPr xmlns="http://schemas.microsoft.com/office/spreadsheetml/2009/9/main" objectType="CheckBox" fmlaLink="$F$48" lockText="1" noThreeD="1"/>
</file>

<file path=xl/ctrlProps/ctrlProp34.xml><?xml version="1.0" encoding="utf-8"?>
<formControlPr xmlns="http://schemas.microsoft.com/office/spreadsheetml/2009/9/main" objectType="CheckBox" fmlaLink="$F$49" lockText="1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Radio" checked="Checked" firstButton="1" fmlaLink="$J$22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firstButton="1" fmlaLink="$F$53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</xdr:row>
          <xdr:rowOff>180975</xdr:rowOff>
        </xdr:from>
        <xdr:to>
          <xdr:col>0</xdr:col>
          <xdr:colOff>333375</xdr:colOff>
          <xdr:row>4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</xdr:row>
          <xdr:rowOff>180975</xdr:rowOff>
        </xdr:from>
        <xdr:to>
          <xdr:col>0</xdr:col>
          <xdr:colOff>333375</xdr:colOff>
          <xdr:row>5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4</xdr:row>
          <xdr:rowOff>180975</xdr:rowOff>
        </xdr:from>
        <xdr:to>
          <xdr:col>0</xdr:col>
          <xdr:colOff>333375</xdr:colOff>
          <xdr:row>6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5</xdr:row>
          <xdr:rowOff>180975</xdr:rowOff>
        </xdr:from>
        <xdr:to>
          <xdr:col>0</xdr:col>
          <xdr:colOff>333375</xdr:colOff>
          <xdr:row>7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6</xdr:row>
          <xdr:rowOff>180975</xdr:rowOff>
        </xdr:from>
        <xdr:to>
          <xdr:col>0</xdr:col>
          <xdr:colOff>333375</xdr:colOff>
          <xdr:row>8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7</xdr:row>
          <xdr:rowOff>180975</xdr:rowOff>
        </xdr:from>
        <xdr:to>
          <xdr:col>0</xdr:col>
          <xdr:colOff>333375</xdr:colOff>
          <xdr:row>9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8</xdr:row>
          <xdr:rowOff>180975</xdr:rowOff>
        </xdr:from>
        <xdr:to>
          <xdr:col>0</xdr:col>
          <xdr:colOff>333375</xdr:colOff>
          <xdr:row>10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9</xdr:row>
          <xdr:rowOff>180975</xdr:rowOff>
        </xdr:from>
        <xdr:to>
          <xdr:col>0</xdr:col>
          <xdr:colOff>333375</xdr:colOff>
          <xdr:row>11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10</xdr:row>
          <xdr:rowOff>180975</xdr:rowOff>
        </xdr:from>
        <xdr:to>
          <xdr:col>0</xdr:col>
          <xdr:colOff>333375</xdr:colOff>
          <xdr:row>12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11</xdr:row>
          <xdr:rowOff>180975</xdr:rowOff>
        </xdr:from>
        <xdr:to>
          <xdr:col>0</xdr:col>
          <xdr:colOff>333375</xdr:colOff>
          <xdr:row>13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12</xdr:row>
          <xdr:rowOff>180975</xdr:rowOff>
        </xdr:from>
        <xdr:to>
          <xdr:col>0</xdr:col>
          <xdr:colOff>333375</xdr:colOff>
          <xdr:row>14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13</xdr:row>
          <xdr:rowOff>180975</xdr:rowOff>
        </xdr:from>
        <xdr:to>
          <xdr:col>0</xdr:col>
          <xdr:colOff>333375</xdr:colOff>
          <xdr:row>15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14</xdr:row>
          <xdr:rowOff>180975</xdr:rowOff>
        </xdr:from>
        <xdr:to>
          <xdr:col>0</xdr:col>
          <xdr:colOff>333375</xdr:colOff>
          <xdr:row>16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15</xdr:row>
          <xdr:rowOff>180975</xdr:rowOff>
        </xdr:from>
        <xdr:to>
          <xdr:col>0</xdr:col>
          <xdr:colOff>333375</xdr:colOff>
          <xdr:row>17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19</xdr:row>
          <xdr:rowOff>180975</xdr:rowOff>
        </xdr:from>
        <xdr:to>
          <xdr:col>0</xdr:col>
          <xdr:colOff>333375</xdr:colOff>
          <xdr:row>21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20</xdr:row>
          <xdr:rowOff>180975</xdr:rowOff>
        </xdr:from>
        <xdr:to>
          <xdr:col>0</xdr:col>
          <xdr:colOff>333375</xdr:colOff>
          <xdr:row>22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24</xdr:row>
          <xdr:rowOff>171450</xdr:rowOff>
        </xdr:from>
        <xdr:to>
          <xdr:col>0</xdr:col>
          <xdr:colOff>333375</xdr:colOff>
          <xdr:row>26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25</xdr:row>
          <xdr:rowOff>180975</xdr:rowOff>
        </xdr:from>
        <xdr:to>
          <xdr:col>0</xdr:col>
          <xdr:colOff>333375</xdr:colOff>
          <xdr:row>27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26</xdr:row>
          <xdr:rowOff>180975</xdr:rowOff>
        </xdr:from>
        <xdr:to>
          <xdr:col>0</xdr:col>
          <xdr:colOff>333375</xdr:colOff>
          <xdr:row>28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27</xdr:row>
          <xdr:rowOff>180975</xdr:rowOff>
        </xdr:from>
        <xdr:to>
          <xdr:col>0</xdr:col>
          <xdr:colOff>333375</xdr:colOff>
          <xdr:row>29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29</xdr:row>
          <xdr:rowOff>180975</xdr:rowOff>
        </xdr:from>
        <xdr:to>
          <xdr:col>0</xdr:col>
          <xdr:colOff>333375</xdr:colOff>
          <xdr:row>31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30</xdr:row>
          <xdr:rowOff>180975</xdr:rowOff>
        </xdr:from>
        <xdr:to>
          <xdr:col>0</xdr:col>
          <xdr:colOff>333375</xdr:colOff>
          <xdr:row>32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31</xdr:row>
          <xdr:rowOff>180975</xdr:rowOff>
        </xdr:from>
        <xdr:to>
          <xdr:col>0</xdr:col>
          <xdr:colOff>333375</xdr:colOff>
          <xdr:row>33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32</xdr:row>
          <xdr:rowOff>180975</xdr:rowOff>
        </xdr:from>
        <xdr:to>
          <xdr:col>0</xdr:col>
          <xdr:colOff>333375</xdr:colOff>
          <xdr:row>34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33</xdr:row>
          <xdr:rowOff>180975</xdr:rowOff>
        </xdr:from>
        <xdr:to>
          <xdr:col>0</xdr:col>
          <xdr:colOff>333375</xdr:colOff>
          <xdr:row>35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34</xdr:row>
          <xdr:rowOff>180975</xdr:rowOff>
        </xdr:from>
        <xdr:to>
          <xdr:col>0</xdr:col>
          <xdr:colOff>333375</xdr:colOff>
          <xdr:row>36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35</xdr:row>
          <xdr:rowOff>180975</xdr:rowOff>
        </xdr:from>
        <xdr:to>
          <xdr:col>0</xdr:col>
          <xdr:colOff>333375</xdr:colOff>
          <xdr:row>37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40</xdr:row>
          <xdr:rowOff>180975</xdr:rowOff>
        </xdr:from>
        <xdr:to>
          <xdr:col>0</xdr:col>
          <xdr:colOff>333375</xdr:colOff>
          <xdr:row>42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41</xdr:row>
          <xdr:rowOff>180975</xdr:rowOff>
        </xdr:from>
        <xdr:to>
          <xdr:col>0</xdr:col>
          <xdr:colOff>333375</xdr:colOff>
          <xdr:row>43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42</xdr:row>
          <xdr:rowOff>180975</xdr:rowOff>
        </xdr:from>
        <xdr:to>
          <xdr:col>0</xdr:col>
          <xdr:colOff>333375</xdr:colOff>
          <xdr:row>44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43</xdr:row>
          <xdr:rowOff>180975</xdr:rowOff>
        </xdr:from>
        <xdr:to>
          <xdr:col>0</xdr:col>
          <xdr:colOff>333375</xdr:colOff>
          <xdr:row>45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45</xdr:row>
          <xdr:rowOff>180975</xdr:rowOff>
        </xdr:from>
        <xdr:to>
          <xdr:col>0</xdr:col>
          <xdr:colOff>333375</xdr:colOff>
          <xdr:row>47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46</xdr:row>
          <xdr:rowOff>180975</xdr:rowOff>
        </xdr:from>
        <xdr:to>
          <xdr:col>0</xdr:col>
          <xdr:colOff>333375</xdr:colOff>
          <xdr:row>48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47</xdr:row>
          <xdr:rowOff>180975</xdr:rowOff>
        </xdr:from>
        <xdr:to>
          <xdr:col>0</xdr:col>
          <xdr:colOff>333375</xdr:colOff>
          <xdr:row>49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175657</xdr:colOff>
      <xdr:row>40</xdr:row>
      <xdr:rowOff>27215</xdr:rowOff>
    </xdr:from>
    <xdr:to>
      <xdr:col>0</xdr:col>
      <xdr:colOff>299374</xdr:colOff>
      <xdr:row>40</xdr:row>
      <xdr:rowOff>150915</xdr:rowOff>
    </xdr:to>
    <xdr:pic>
      <xdr:nvPicPr>
        <xdr:cNvPr id="7" name="Grafický objekt 6" descr="Zaškrtnutí se souvislou výplní">
          <a:extLst>
            <a:ext uri="{FF2B5EF4-FFF2-40B4-BE49-F238E27FC236}">
              <a16:creationId xmlns:a16="http://schemas.microsoft.com/office/drawing/2014/main" id="{B594C91C-B25B-2C0A-A38E-DB11704FE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75657" y="7075715"/>
          <a:ext cx="123717" cy="123700"/>
        </a:xfrm>
        <a:prstGeom prst="rect">
          <a:avLst/>
        </a:prstGeom>
      </xdr:spPr>
    </xdr:pic>
    <xdr:clientData/>
  </xdr:twoCellAnchor>
  <xdr:twoCellAnchor editAs="oneCell">
    <xdr:from>
      <xdr:col>0</xdr:col>
      <xdr:colOff>178130</xdr:colOff>
      <xdr:row>2</xdr:row>
      <xdr:rowOff>32163</xdr:rowOff>
    </xdr:from>
    <xdr:to>
      <xdr:col>0</xdr:col>
      <xdr:colOff>301847</xdr:colOff>
      <xdr:row>2</xdr:row>
      <xdr:rowOff>155863</xdr:rowOff>
    </xdr:to>
    <xdr:pic>
      <xdr:nvPicPr>
        <xdr:cNvPr id="8" name="Grafický objekt 7" descr="Zaškrtnutí se souvislou výplní">
          <a:extLst>
            <a:ext uri="{FF2B5EF4-FFF2-40B4-BE49-F238E27FC236}">
              <a16:creationId xmlns:a16="http://schemas.microsoft.com/office/drawing/2014/main" id="{B1EBBCEE-98FC-4665-9ACA-6B9887F8F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78130" y="413163"/>
          <a:ext cx="123717" cy="1237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</xdr:row>
          <xdr:rowOff>9525</xdr:rowOff>
        </xdr:from>
        <xdr:to>
          <xdr:col>4</xdr:col>
          <xdr:colOff>600075</xdr:colOff>
          <xdr:row>25</xdr:row>
          <xdr:rowOff>9525</xdr:rowOff>
        </xdr:to>
        <xdr:sp macro="" textlink="">
          <xdr:nvSpPr>
            <xdr:cNvPr id="1068" name="Group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</xdr:row>
          <xdr:rowOff>9525</xdr:rowOff>
        </xdr:from>
        <xdr:to>
          <xdr:col>4</xdr:col>
          <xdr:colOff>600075</xdr:colOff>
          <xdr:row>55</xdr:row>
          <xdr:rowOff>0</xdr:rowOff>
        </xdr:to>
        <xdr:sp macro="" textlink="">
          <xdr:nvSpPr>
            <xdr:cNvPr id="1072" name="Group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22</xdr:row>
          <xdr:rowOff>9525</xdr:rowOff>
        </xdr:from>
        <xdr:to>
          <xdr:col>1</xdr:col>
          <xdr:colOff>762000</xdr:colOff>
          <xdr:row>23</xdr:row>
          <xdr:rowOff>0</xdr:rowOff>
        </xdr:to>
        <xdr:sp macro="" textlink="">
          <xdr:nvSpPr>
            <xdr:cNvPr id="1074" name="Option Button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23</xdr:row>
          <xdr:rowOff>9525</xdr:rowOff>
        </xdr:from>
        <xdr:to>
          <xdr:col>1</xdr:col>
          <xdr:colOff>762000</xdr:colOff>
          <xdr:row>24</xdr:row>
          <xdr:rowOff>0</xdr:rowOff>
        </xdr:to>
        <xdr:sp macro="" textlink="">
          <xdr:nvSpPr>
            <xdr:cNvPr id="1077" name="Option Button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24</xdr:row>
          <xdr:rowOff>9525</xdr:rowOff>
        </xdr:from>
        <xdr:to>
          <xdr:col>1</xdr:col>
          <xdr:colOff>762000</xdr:colOff>
          <xdr:row>25</xdr:row>
          <xdr:rowOff>0</xdr:rowOff>
        </xdr:to>
        <xdr:sp macro="" textlink="">
          <xdr:nvSpPr>
            <xdr:cNvPr id="1078" name="Option Button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52</xdr:row>
          <xdr:rowOff>19050</xdr:rowOff>
        </xdr:from>
        <xdr:to>
          <xdr:col>0</xdr:col>
          <xdr:colOff>371475</xdr:colOff>
          <xdr:row>53</xdr:row>
          <xdr:rowOff>9525</xdr:rowOff>
        </xdr:to>
        <xdr:sp macro="" textlink="">
          <xdr:nvSpPr>
            <xdr:cNvPr id="1080" name="Option Button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53</xdr:row>
          <xdr:rowOff>19050</xdr:rowOff>
        </xdr:from>
        <xdr:to>
          <xdr:col>0</xdr:col>
          <xdr:colOff>371475</xdr:colOff>
          <xdr:row>54</xdr:row>
          <xdr:rowOff>0</xdr:rowOff>
        </xdr:to>
        <xdr:sp macro="" textlink="">
          <xdr:nvSpPr>
            <xdr:cNvPr id="1083" name="Option Button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54</xdr:row>
          <xdr:rowOff>9525</xdr:rowOff>
        </xdr:from>
        <xdr:to>
          <xdr:col>0</xdr:col>
          <xdr:colOff>371475</xdr:colOff>
          <xdr:row>54</xdr:row>
          <xdr:rowOff>180975</xdr:rowOff>
        </xdr:to>
        <xdr:sp macro="" textlink="">
          <xdr:nvSpPr>
            <xdr:cNvPr id="1084" name="Option Button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9" Type="http://schemas.openxmlformats.org/officeDocument/2006/relationships/ctrlProp" Target="../ctrlProps/ctrlProp25.xml"/><Relationship Id="rId1" Type="http://schemas.openxmlformats.org/officeDocument/2006/relationships/hyperlink" Target="https://timpex.cz/pro-partnery/manualy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O70"/>
  <sheetViews>
    <sheetView tabSelected="1" zoomScaleNormal="100" workbookViewId="0">
      <selection sqref="A1:E1"/>
    </sheetView>
  </sheetViews>
  <sheetFormatPr defaultColWidth="0" defaultRowHeight="15" zeroHeight="1" x14ac:dyDescent="0.25"/>
  <cols>
    <col min="1" max="1" width="6.7109375" customWidth="1"/>
    <col min="2" max="2" width="11.85546875" customWidth="1"/>
    <col min="3" max="3" width="11.28515625" customWidth="1"/>
    <col min="4" max="4" width="54" customWidth="1"/>
    <col min="5" max="5" width="9.140625" customWidth="1"/>
    <col min="6" max="6" width="12" style="1" hidden="1"/>
    <col min="7" max="8" width="9.140625" hidden="1"/>
    <col min="9" max="9" width="17" hidden="1"/>
    <col min="10" max="13" width="9.140625" hidden="1"/>
    <col min="14" max="14" width="10.7109375" hidden="1"/>
    <col min="16" max="16384" width="9.140625" hidden="1"/>
  </cols>
  <sheetData>
    <row r="1" spans="1:15" x14ac:dyDescent="0.25">
      <c r="A1" s="37" t="s">
        <v>120</v>
      </c>
      <c r="B1" s="38"/>
      <c r="C1" s="38"/>
      <c r="D1" s="38"/>
      <c r="E1" s="39"/>
      <c r="F1" s="30" t="s">
        <v>40</v>
      </c>
      <c r="G1" s="29"/>
      <c r="H1" s="15"/>
      <c r="I1" s="29" t="s">
        <v>118</v>
      </c>
      <c r="J1" s="29"/>
      <c r="K1" s="29"/>
      <c r="L1" s="15"/>
      <c r="M1" s="15"/>
      <c r="N1" s="15" t="s">
        <v>117</v>
      </c>
    </row>
    <row r="2" spans="1:15" x14ac:dyDescent="0.25">
      <c r="A2" s="31" t="s">
        <v>0</v>
      </c>
      <c r="B2" s="32"/>
      <c r="C2" s="32"/>
      <c r="D2" s="32"/>
      <c r="E2" s="33"/>
      <c r="F2" s="16"/>
      <c r="G2" s="15"/>
      <c r="H2" s="15"/>
      <c r="I2" s="15"/>
      <c r="J2" s="15"/>
      <c r="K2" s="15"/>
      <c r="L2" s="15"/>
      <c r="M2" s="15">
        <v>251</v>
      </c>
      <c r="N2" s="15">
        <f>IF(G13=1,M2,0)</f>
        <v>0</v>
      </c>
      <c r="O2" t="s">
        <v>41</v>
      </c>
    </row>
    <row r="3" spans="1:15" x14ac:dyDescent="0.25">
      <c r="A3" s="2"/>
      <c r="B3" t="s">
        <v>1</v>
      </c>
      <c r="E3" s="4"/>
      <c r="F3" s="16"/>
      <c r="G3" s="15">
        <v>1</v>
      </c>
      <c r="H3" s="15"/>
      <c r="I3" s="15"/>
      <c r="J3" s="15"/>
      <c r="K3" s="15"/>
      <c r="L3" s="15"/>
      <c r="M3" s="15">
        <v>252</v>
      </c>
      <c r="N3" s="15">
        <f>IF(G42=1,M3,0)</f>
        <v>0</v>
      </c>
      <c r="O3" t="s">
        <v>42</v>
      </c>
    </row>
    <row r="4" spans="1:15" x14ac:dyDescent="0.25">
      <c r="A4" s="9"/>
      <c r="B4" t="s">
        <v>2</v>
      </c>
      <c r="E4" s="4"/>
      <c r="F4" s="16" t="b">
        <v>0</v>
      </c>
      <c r="G4" s="15">
        <f>IF(F4=TRUE,1,0)</f>
        <v>0</v>
      </c>
      <c r="H4" s="15"/>
      <c r="I4" s="15"/>
      <c r="J4" s="15"/>
      <c r="K4" s="15"/>
      <c r="L4" s="15"/>
      <c r="M4" s="15">
        <v>253</v>
      </c>
      <c r="N4" s="15">
        <f>IF(AND(G13=1,G42=1),M4,0)</f>
        <v>0</v>
      </c>
      <c r="O4" t="s">
        <v>43</v>
      </c>
    </row>
    <row r="5" spans="1:15" x14ac:dyDescent="0.25">
      <c r="A5" s="9"/>
      <c r="B5" t="s">
        <v>3</v>
      </c>
      <c r="E5" s="4"/>
      <c r="F5" s="16" t="b">
        <v>0</v>
      </c>
      <c r="G5" s="15">
        <f t="shared" ref="G5:G17" si="0">IF(F5=TRUE,1,0)</f>
        <v>0</v>
      </c>
      <c r="H5" s="15"/>
      <c r="I5" s="15"/>
      <c r="J5" s="15"/>
      <c r="K5" s="15"/>
      <c r="L5" s="15"/>
      <c r="M5" s="15">
        <v>254</v>
      </c>
      <c r="N5" s="15">
        <f>IF(AND(G5=1,G6=1,G21=1),M5,0)</f>
        <v>0</v>
      </c>
      <c r="O5" t="s">
        <v>44</v>
      </c>
    </row>
    <row r="6" spans="1:15" x14ac:dyDescent="0.25">
      <c r="A6" s="9"/>
      <c r="B6" t="s">
        <v>4</v>
      </c>
      <c r="E6" s="4"/>
      <c r="F6" s="16" t="b">
        <v>0</v>
      </c>
      <c r="G6" s="15">
        <f t="shared" si="0"/>
        <v>0</v>
      </c>
      <c r="H6" s="15"/>
      <c r="I6" s="15"/>
      <c r="J6" s="15"/>
      <c r="K6" s="15"/>
      <c r="L6" s="15"/>
      <c r="M6" s="15">
        <v>255</v>
      </c>
      <c r="N6" s="15">
        <f>IF(AND(G5=1,G6=1,G7=1,G21=1,J22=1),M6,0)</f>
        <v>0</v>
      </c>
      <c r="O6" t="s">
        <v>45</v>
      </c>
    </row>
    <row r="7" spans="1:15" x14ac:dyDescent="0.25">
      <c r="A7" s="9"/>
      <c r="B7" t="s">
        <v>5</v>
      </c>
      <c r="E7" s="4"/>
      <c r="F7" s="16" t="b">
        <v>0</v>
      </c>
      <c r="G7" s="15">
        <f t="shared" si="0"/>
        <v>0</v>
      </c>
      <c r="H7" s="15"/>
      <c r="I7" s="15"/>
      <c r="J7" s="15"/>
      <c r="K7" s="15"/>
      <c r="L7" s="15"/>
      <c r="M7" s="15">
        <v>256</v>
      </c>
      <c r="N7" s="15">
        <f>IF(AND(G5=1,G6=1,G7=1,G21=1,J22=2),M7,0)</f>
        <v>0</v>
      </c>
      <c r="O7" t="s">
        <v>46</v>
      </c>
    </row>
    <row r="8" spans="1:15" x14ac:dyDescent="0.25">
      <c r="A8" s="9"/>
      <c r="B8" t="s">
        <v>6</v>
      </c>
      <c r="E8" s="4"/>
      <c r="F8" s="16" t="b">
        <v>0</v>
      </c>
      <c r="G8" s="15">
        <f t="shared" si="0"/>
        <v>0</v>
      </c>
      <c r="H8" s="15"/>
      <c r="I8" s="15"/>
      <c r="J8" s="15"/>
      <c r="K8" s="15"/>
      <c r="L8" s="15"/>
      <c r="M8" s="15">
        <v>301</v>
      </c>
      <c r="N8" s="15">
        <f>IF(AND(G5=1,G6=1,G7=1,G21=1,J22=1,G12=1,G27=1),M8,0)</f>
        <v>0</v>
      </c>
      <c r="O8" t="s">
        <v>47</v>
      </c>
    </row>
    <row r="9" spans="1:15" x14ac:dyDescent="0.25">
      <c r="A9" s="9"/>
      <c r="B9" t="s">
        <v>17</v>
      </c>
      <c r="E9" s="4"/>
      <c r="F9" s="16" t="b">
        <v>0</v>
      </c>
      <c r="G9" s="15">
        <f t="shared" si="0"/>
        <v>0</v>
      </c>
      <c r="H9" s="15"/>
      <c r="I9" s="15"/>
      <c r="J9" s="15"/>
      <c r="K9" s="15"/>
      <c r="L9" s="15"/>
      <c r="M9" s="15">
        <v>302</v>
      </c>
      <c r="N9" s="15">
        <f>IF(AND(G5=1,G6=1,G7=1,G21=1,J22=1,G43=1),M9,0)</f>
        <v>0</v>
      </c>
      <c r="O9" t="s">
        <v>48</v>
      </c>
    </row>
    <row r="10" spans="1:15" x14ac:dyDescent="0.25">
      <c r="A10" s="9"/>
      <c r="B10" t="s">
        <v>7</v>
      </c>
      <c r="E10" s="4"/>
      <c r="F10" s="16" t="b">
        <v>0</v>
      </c>
      <c r="G10" s="15">
        <f t="shared" si="0"/>
        <v>0</v>
      </c>
      <c r="H10" s="15"/>
      <c r="I10" s="15"/>
      <c r="J10" s="15"/>
      <c r="K10" s="15"/>
      <c r="L10" s="15"/>
      <c r="M10" s="15">
        <v>303</v>
      </c>
      <c r="N10" s="15">
        <f>IF(AND(G5=1,G6=1,G7=1,G21=1,J22=1,G43=1,G12=1,G27=1),M10,0)</f>
        <v>0</v>
      </c>
      <c r="O10" t="s">
        <v>49</v>
      </c>
    </row>
    <row r="11" spans="1:15" x14ac:dyDescent="0.25">
      <c r="A11" s="9"/>
      <c r="B11" t="s">
        <v>16</v>
      </c>
      <c r="E11" s="4"/>
      <c r="F11" s="16" t="b">
        <v>0</v>
      </c>
      <c r="G11" s="15">
        <f t="shared" si="0"/>
        <v>0</v>
      </c>
      <c r="H11" s="15"/>
      <c r="I11" s="15"/>
      <c r="J11" s="15"/>
      <c r="K11" s="15"/>
      <c r="L11" s="15"/>
      <c r="M11" s="15">
        <v>304</v>
      </c>
      <c r="N11" s="15">
        <f>IF(AND(G5=1,G6=1,G7=1,G21=1,J22=1,G43=1,G42=1),M11,0)</f>
        <v>0</v>
      </c>
      <c r="O11" t="s">
        <v>50</v>
      </c>
    </row>
    <row r="12" spans="1:15" x14ac:dyDescent="0.25">
      <c r="A12" s="9"/>
      <c r="B12" t="s">
        <v>8</v>
      </c>
      <c r="E12" s="4"/>
      <c r="F12" s="16" t="b">
        <v>0</v>
      </c>
      <c r="G12" s="15">
        <f t="shared" si="0"/>
        <v>0</v>
      </c>
      <c r="H12" s="15"/>
      <c r="I12" s="15"/>
      <c r="J12" s="15"/>
      <c r="K12" s="15"/>
      <c r="L12" s="15"/>
      <c r="M12" s="15">
        <v>305</v>
      </c>
      <c r="N12" s="15">
        <f>IF(AND(G5=1,G6=1,G7=1,G21=1,J22=1,G43=1,G12=1,G27=1,G42=1),M12,0)</f>
        <v>0</v>
      </c>
      <c r="O12" t="s">
        <v>51</v>
      </c>
    </row>
    <row r="13" spans="1:15" x14ac:dyDescent="0.25">
      <c r="A13" s="1"/>
      <c r="B13" t="s">
        <v>9</v>
      </c>
      <c r="E13" s="4"/>
      <c r="F13" s="16" t="b">
        <v>0</v>
      </c>
      <c r="G13" s="15">
        <f t="shared" si="0"/>
        <v>0</v>
      </c>
      <c r="H13" s="15"/>
      <c r="I13" s="15"/>
      <c r="J13" s="15"/>
      <c r="K13" s="15"/>
      <c r="L13" s="15"/>
      <c r="M13" s="15">
        <v>306</v>
      </c>
      <c r="N13" s="15">
        <f>IF(AND(G5=1,G6=1,G7=1,G21=1,J22=1,G43=1,G42=1,G4=1),M13,0)</f>
        <v>0</v>
      </c>
      <c r="O13" t="s">
        <v>52</v>
      </c>
    </row>
    <row r="14" spans="1:15" x14ac:dyDescent="0.25">
      <c r="A14" s="1"/>
      <c r="B14" t="s">
        <v>10</v>
      </c>
      <c r="E14" s="4"/>
      <c r="F14" s="16" t="b">
        <v>0</v>
      </c>
      <c r="G14" s="15">
        <f t="shared" si="0"/>
        <v>0</v>
      </c>
      <c r="H14" s="15"/>
      <c r="I14" s="15"/>
      <c r="J14" s="15"/>
      <c r="K14" s="15"/>
      <c r="L14" s="15"/>
      <c r="M14" s="15">
        <v>307</v>
      </c>
      <c r="N14" s="15">
        <f>IF(AND(G5=1,G6=1,G7=1,G21=1,J22=1,G43=1,G12=1,G27=1,G42=1,G4=1),M14,0)</f>
        <v>0</v>
      </c>
      <c r="O14" t="s">
        <v>53</v>
      </c>
    </row>
    <row r="15" spans="1:15" x14ac:dyDescent="0.25">
      <c r="A15" s="1"/>
      <c r="B15" t="s">
        <v>11</v>
      </c>
      <c r="E15" s="4"/>
      <c r="F15" s="16" t="b">
        <v>0</v>
      </c>
      <c r="G15" s="15">
        <f t="shared" si="0"/>
        <v>0</v>
      </c>
      <c r="H15" s="15"/>
      <c r="I15" s="15"/>
      <c r="J15" s="15"/>
      <c r="K15" s="15"/>
      <c r="L15" s="15"/>
      <c r="M15" s="15">
        <v>308</v>
      </c>
      <c r="N15" s="15">
        <f>IF(AND(G5=1,G6=1,G7=1,G21=1,J22=2,G12=1,G27=1),M15,0)</f>
        <v>0</v>
      </c>
      <c r="O15" t="s">
        <v>54</v>
      </c>
    </row>
    <row r="16" spans="1:15" x14ac:dyDescent="0.25">
      <c r="A16" s="1"/>
      <c r="B16" t="s">
        <v>12</v>
      </c>
      <c r="E16" s="4"/>
      <c r="F16" s="16" t="b">
        <v>0</v>
      </c>
      <c r="G16" s="15">
        <f t="shared" si="0"/>
        <v>0</v>
      </c>
      <c r="H16" s="15"/>
      <c r="I16" s="15"/>
      <c r="J16" s="15"/>
      <c r="K16" s="15"/>
      <c r="L16" s="15"/>
      <c r="M16" s="15">
        <v>309</v>
      </c>
      <c r="N16" s="15">
        <f>IF(AND(G5=1,G6=1,G7=1,G21=1,J22=2,G43=1),M16,0)</f>
        <v>0</v>
      </c>
      <c r="O16" t="s">
        <v>55</v>
      </c>
    </row>
    <row r="17" spans="1:15" x14ac:dyDescent="0.25">
      <c r="A17" s="9"/>
      <c r="B17" t="s">
        <v>13</v>
      </c>
      <c r="E17" s="4"/>
      <c r="F17" s="16" t="b">
        <v>0</v>
      </c>
      <c r="G17" s="15">
        <f t="shared" si="0"/>
        <v>0</v>
      </c>
      <c r="H17" s="15"/>
      <c r="I17" s="15" t="s">
        <v>18</v>
      </c>
      <c r="J17" s="15" t="str">
        <f>IF(OR(G11=1,G9=1,G18&gt;6),500,"není 500")</f>
        <v>není 500</v>
      </c>
      <c r="K17" s="15"/>
      <c r="L17" s="15"/>
      <c r="M17" s="15">
        <v>310</v>
      </c>
      <c r="N17" s="15">
        <f>IF(AND(G5=1,G6=1,G7=1,G21=1,J22=2,G43=1,G12=1,G27=1),M17,0)</f>
        <v>0</v>
      </c>
      <c r="O17" t="s">
        <v>56</v>
      </c>
    </row>
    <row r="18" spans="1:15" x14ac:dyDescent="0.25">
      <c r="A18" s="1"/>
      <c r="E18" s="4"/>
      <c r="F18" s="16" t="s">
        <v>14</v>
      </c>
      <c r="G18" s="17">
        <f>SUM(G3:G17)</f>
        <v>1</v>
      </c>
      <c r="H18" s="15"/>
      <c r="I18" s="15" t="s">
        <v>19</v>
      </c>
      <c r="J18" s="15" t="str">
        <f>IF(OR(G10=1,G8=1),400,"není 500 a 400")</f>
        <v>není 500 a 400</v>
      </c>
      <c r="K18" s="15"/>
      <c r="L18" s="15"/>
      <c r="M18" s="15">
        <v>311</v>
      </c>
      <c r="N18" s="15">
        <f>IF(AND(G5=1,G6=1,G7=1,G21=1,J22=2,G43=1,G42=1),M18,0)</f>
        <v>0</v>
      </c>
      <c r="O18" t="s">
        <v>57</v>
      </c>
    </row>
    <row r="19" spans="1:15" x14ac:dyDescent="0.25">
      <c r="A19" s="1"/>
      <c r="E19" s="4"/>
      <c r="F19" s="16" t="s">
        <v>15</v>
      </c>
      <c r="G19" s="15">
        <f>IF(OR(G11=1,G9=1,G18&gt;6),500,IF(OR(G10=1,G8=1),400,IF(OR(G12=1,G18&gt;4),300,250)))</f>
        <v>250</v>
      </c>
      <c r="H19" s="15"/>
      <c r="I19" s="15" t="s">
        <v>20</v>
      </c>
      <c r="J19" s="15" t="str">
        <f>IF(OR(G12=1,G18&gt;4),300,"není 500 a 400 a 300")</f>
        <v>není 500 a 400 a 300</v>
      </c>
      <c r="K19" s="15"/>
      <c r="L19" s="15"/>
      <c r="M19" s="15">
        <v>312</v>
      </c>
      <c r="N19" s="15">
        <f>IF(AND(G5=1,G6=1,G7=1,G21=1,J22=2,G43=1,G12=1,G27=1,G42=1),M19,0)</f>
        <v>0</v>
      </c>
      <c r="O19" t="s">
        <v>58</v>
      </c>
    </row>
    <row r="20" spans="1:15" x14ac:dyDescent="0.25">
      <c r="A20" s="31" t="s">
        <v>21</v>
      </c>
      <c r="B20" s="32"/>
      <c r="C20" s="32"/>
      <c r="D20" s="32"/>
      <c r="E20" s="33"/>
      <c r="F20" s="16"/>
      <c r="G20" s="15"/>
      <c r="H20" s="15"/>
      <c r="I20" s="15"/>
      <c r="J20" s="15"/>
      <c r="K20" s="15"/>
      <c r="L20" s="15"/>
      <c r="M20" s="15">
        <v>313</v>
      </c>
      <c r="N20" s="15">
        <f>IF(AND(G5=1,G6=1,G7=1,G21=1,J22=2,G43=1,G42=1,G4=1),M20,0)</f>
        <v>0</v>
      </c>
      <c r="O20" t="s">
        <v>59</v>
      </c>
    </row>
    <row r="21" spans="1:15" x14ac:dyDescent="0.25">
      <c r="A21" s="9"/>
      <c r="B21" t="s">
        <v>126</v>
      </c>
      <c r="E21" s="4"/>
      <c r="F21" s="16" t="b">
        <v>0</v>
      </c>
      <c r="G21" s="15">
        <f>IF(F21=TRUE,1,0)</f>
        <v>0</v>
      </c>
      <c r="H21" s="15"/>
      <c r="I21" s="15"/>
      <c r="J21" s="15"/>
      <c r="K21" s="15"/>
      <c r="L21" s="15"/>
      <c r="M21" s="15">
        <v>314</v>
      </c>
      <c r="N21" s="15">
        <f>IF(AND(G5=1,G6=1,G7=1,G21=1,J22=2,G43=1,G12=1,G27=1,G42=1,G4=1),M21,0)</f>
        <v>0</v>
      </c>
      <c r="O21" t="s">
        <v>60</v>
      </c>
    </row>
    <row r="22" spans="1:15" x14ac:dyDescent="0.25">
      <c r="A22" s="9"/>
      <c r="B22" t="s">
        <v>127</v>
      </c>
      <c r="E22" s="4"/>
      <c r="F22" s="16" t="b">
        <v>0</v>
      </c>
      <c r="G22" s="15">
        <f t="shared" ref="G22" si="1">IF(F22=TRUE,1,0)</f>
        <v>0</v>
      </c>
      <c r="H22" s="15"/>
      <c r="I22" s="15" t="s">
        <v>113</v>
      </c>
      <c r="J22" s="15">
        <v>1</v>
      </c>
      <c r="K22" s="15"/>
      <c r="L22" s="15"/>
      <c r="M22" s="15">
        <v>401</v>
      </c>
      <c r="N22" s="15">
        <f>IF(AND(G5=1,G6=1,G7=1,G8=1,G10=1,G21=1,J22=1,G44=1,G22=1),M22,0)</f>
        <v>0</v>
      </c>
      <c r="O22" t="s">
        <v>61</v>
      </c>
    </row>
    <row r="23" spans="1:15" x14ac:dyDescent="0.25">
      <c r="A23" s="1"/>
      <c r="B23" s="6"/>
      <c r="C23" s="6" t="s">
        <v>114</v>
      </c>
      <c r="D23" s="6"/>
      <c r="E23" s="7"/>
      <c r="F23" s="16"/>
      <c r="G23" s="15">
        <v>0</v>
      </c>
      <c r="H23" s="15"/>
      <c r="I23" s="15" t="s">
        <v>109</v>
      </c>
      <c r="J23" s="15"/>
      <c r="K23" s="15"/>
      <c r="L23" s="15"/>
      <c r="M23" s="15">
        <v>402</v>
      </c>
      <c r="N23" s="15">
        <f>IF(AND(G5=1,G6=1,G7=1,G8=1,G10=1,G21=1,J22=1,G44=1,G28=1,G22=1),M23,0)</f>
        <v>0</v>
      </c>
      <c r="O23" t="s">
        <v>62</v>
      </c>
    </row>
    <row r="24" spans="1:15" x14ac:dyDescent="0.25">
      <c r="A24" s="1"/>
      <c r="B24" s="6"/>
      <c r="C24" s="6" t="s">
        <v>115</v>
      </c>
      <c r="D24" s="6"/>
      <c r="E24" s="7"/>
      <c r="F24" s="16"/>
      <c r="G24" s="15">
        <v>0</v>
      </c>
      <c r="H24" s="15"/>
      <c r="I24" s="15" t="s">
        <v>111</v>
      </c>
      <c r="J24" s="15"/>
      <c r="K24" s="15"/>
      <c r="L24" s="15"/>
      <c r="M24" s="15">
        <v>403</v>
      </c>
      <c r="N24" s="15">
        <f>IF(AND(G5=1,G6=1,G7=1,G8=1,G10=1,G21=1,J22=1,G44=1,G29=1,G22=1),M24,0)</f>
        <v>0</v>
      </c>
      <c r="O24" t="s">
        <v>63</v>
      </c>
    </row>
    <row r="25" spans="1:15" x14ac:dyDescent="0.25">
      <c r="A25" s="1"/>
      <c r="B25" s="6"/>
      <c r="C25" s="6" t="s">
        <v>116</v>
      </c>
      <c r="D25" s="6"/>
      <c r="E25" s="7"/>
      <c r="F25" s="16"/>
      <c r="G25" s="15"/>
      <c r="H25" s="15"/>
      <c r="I25" s="15" t="s">
        <v>112</v>
      </c>
      <c r="J25" s="15"/>
      <c r="K25" s="15"/>
      <c r="L25" s="15"/>
      <c r="M25" s="15">
        <v>404</v>
      </c>
      <c r="N25" s="15">
        <f>IF(AND(G5=1,G6=1,G8=1,G10=1,G21=1,J22=1,G44=1,G12=1,G27=1,G22=1),M25,0)</f>
        <v>0</v>
      </c>
      <c r="O25" t="s">
        <v>64</v>
      </c>
    </row>
    <row r="26" spans="1:15" x14ac:dyDescent="0.25">
      <c r="A26" s="9"/>
      <c r="B26" t="s">
        <v>128</v>
      </c>
      <c r="E26" s="4"/>
      <c r="F26" s="16" t="b">
        <v>0</v>
      </c>
      <c r="G26" s="15">
        <f>IF(F26=TRUE,1,0)</f>
        <v>0</v>
      </c>
      <c r="H26" s="15"/>
      <c r="I26" s="15"/>
      <c r="J26" s="15"/>
      <c r="K26" s="15"/>
      <c r="L26" s="15"/>
      <c r="M26" s="15">
        <v>405</v>
      </c>
      <c r="N26" s="15">
        <f>IF(AND(G5=1,G6=1,G8=1,G10=1,G21=1,J22=1,G44=1,G12=1,G27=1,G22=1,G28=1),M26,0)</f>
        <v>0</v>
      </c>
      <c r="O26" t="s">
        <v>65</v>
      </c>
    </row>
    <row r="27" spans="1:15" x14ac:dyDescent="0.25">
      <c r="A27" s="9"/>
      <c r="B27" t="s">
        <v>129</v>
      </c>
      <c r="E27" s="4"/>
      <c r="F27" s="16" t="b">
        <v>0</v>
      </c>
      <c r="G27" s="15">
        <f>IF(F27=TRUE,1,0)</f>
        <v>0</v>
      </c>
      <c r="H27" s="15"/>
      <c r="I27" s="15"/>
      <c r="J27" s="15"/>
      <c r="K27" s="15"/>
      <c r="L27" s="15"/>
      <c r="M27" s="15">
        <v>406</v>
      </c>
      <c r="N27" s="15">
        <f>IF(AND(G5=1,G6=1,G8=1,G10=1,G21=1,J22=1,G44=1,G12=1,G27=1,G22=1,G29=1),M27,0)</f>
        <v>0</v>
      </c>
      <c r="O27" t="s">
        <v>66</v>
      </c>
    </row>
    <row r="28" spans="1:15" x14ac:dyDescent="0.25">
      <c r="A28" s="9"/>
      <c r="B28" t="s">
        <v>22</v>
      </c>
      <c r="E28" s="4"/>
      <c r="F28" s="16" t="b">
        <v>0</v>
      </c>
      <c r="G28" s="15">
        <f>IF(F28=TRUE,1,0)</f>
        <v>0</v>
      </c>
      <c r="H28" s="15"/>
      <c r="I28" s="15"/>
      <c r="J28" s="15"/>
      <c r="K28" s="15"/>
      <c r="L28" s="15"/>
      <c r="M28" s="15">
        <v>407</v>
      </c>
      <c r="N28" s="15">
        <f>IF(AND(G5=1,G6=1,G8=1,G10=1,G17=1,G21=1,G22=1,J22=1,G44=1,J54="EKVI"),M28,0)</f>
        <v>0</v>
      </c>
      <c r="O28" t="s">
        <v>67</v>
      </c>
    </row>
    <row r="29" spans="1:15" x14ac:dyDescent="0.25">
      <c r="A29" s="9"/>
      <c r="B29" t="s">
        <v>23</v>
      </c>
      <c r="E29" s="4"/>
      <c r="F29" s="16" t="b">
        <v>0</v>
      </c>
      <c r="G29" s="15">
        <f>IF(F29=TRUE,1,0)</f>
        <v>0</v>
      </c>
      <c r="H29" s="15"/>
      <c r="I29" s="15"/>
      <c r="J29" s="15"/>
      <c r="K29" s="15"/>
      <c r="L29" s="15"/>
      <c r="M29" s="15">
        <v>408</v>
      </c>
      <c r="N29" s="15">
        <f>IF(AND(G5=1,G6=1,G8=1,G10=1,G17=1,G21=1,G22=1,J22=1,G44=1,J54="EKVI",G28=1),M29,0)</f>
        <v>0</v>
      </c>
      <c r="O29" t="s">
        <v>68</v>
      </c>
    </row>
    <row r="30" spans="1:15" x14ac:dyDescent="0.25">
      <c r="A30" s="1"/>
      <c r="B30" s="5" t="s">
        <v>27</v>
      </c>
      <c r="E30" s="4"/>
      <c r="F30" s="16"/>
      <c r="G30" s="15">
        <v>0</v>
      </c>
      <c r="H30" s="15"/>
      <c r="I30" s="15"/>
      <c r="J30" s="15"/>
      <c r="K30" s="15"/>
      <c r="L30" s="15"/>
      <c r="M30" s="15">
        <v>409</v>
      </c>
      <c r="N30" s="15">
        <f>IF(AND(G5=1,G6=1,G8=1,G10=1,G17=1,G21=1,G22=1,J22=1,G44=1,J54="EKVI",G29=1),M30,0)</f>
        <v>0</v>
      </c>
      <c r="O30" t="s">
        <v>69</v>
      </c>
    </row>
    <row r="31" spans="1:15" x14ac:dyDescent="0.25">
      <c r="A31" s="1"/>
      <c r="B31" t="s">
        <v>24</v>
      </c>
      <c r="E31" s="4"/>
      <c r="F31" s="16" t="b">
        <v>0</v>
      </c>
      <c r="G31" s="15">
        <f t="shared" ref="G31:G37" si="2">IF(F31=TRUE,1,0)</f>
        <v>0</v>
      </c>
      <c r="H31" s="15"/>
      <c r="I31" s="15"/>
      <c r="J31" s="15"/>
      <c r="K31" s="15"/>
      <c r="L31" s="15"/>
      <c r="M31" s="15">
        <v>410</v>
      </c>
      <c r="N31" s="15">
        <f>IF(AND(G5=1,G6=1,G7=1,G8=1,G10=1,G21=1,J22=2,G44=1,G22=1),M31,0)</f>
        <v>0</v>
      </c>
      <c r="O31" t="s">
        <v>70</v>
      </c>
    </row>
    <row r="32" spans="1:15" x14ac:dyDescent="0.25">
      <c r="A32" s="1"/>
      <c r="B32" t="s">
        <v>25</v>
      </c>
      <c r="E32" s="4"/>
      <c r="F32" s="16" t="b">
        <v>0</v>
      </c>
      <c r="G32" s="15">
        <f t="shared" si="2"/>
        <v>0</v>
      </c>
      <c r="H32" s="15"/>
      <c r="I32" s="15"/>
      <c r="J32" s="15"/>
      <c r="K32" s="15"/>
      <c r="L32" s="15"/>
      <c r="M32" s="15">
        <v>411</v>
      </c>
      <c r="N32" s="15">
        <f>IF(AND(G5=1,G6=1,G7=1,G8=1,G10=1,G21=1,J22=2,G44=1,G28=1,G22=1),M32,0)</f>
        <v>0</v>
      </c>
      <c r="O32" t="s">
        <v>71</v>
      </c>
    </row>
    <row r="33" spans="1:15" x14ac:dyDescent="0.25">
      <c r="A33" s="1"/>
      <c r="B33" t="s">
        <v>130</v>
      </c>
      <c r="E33" s="4"/>
      <c r="F33" s="16" t="b">
        <v>0</v>
      </c>
      <c r="G33" s="15">
        <f t="shared" si="2"/>
        <v>0</v>
      </c>
      <c r="H33" s="15"/>
      <c r="I33" s="15"/>
      <c r="J33" s="15"/>
      <c r="K33" s="15"/>
      <c r="L33" s="15"/>
      <c r="M33" s="15">
        <v>412</v>
      </c>
      <c r="N33" s="15">
        <f>IF(AND(G5=1,G6=1,G7=1,G8=1,G10=1,G21=1,J22=2,G44=1,G29=1,G22=1),M33,0)</f>
        <v>0</v>
      </c>
      <c r="O33" t="s">
        <v>72</v>
      </c>
    </row>
    <row r="34" spans="1:15" x14ac:dyDescent="0.25">
      <c r="A34" s="1"/>
      <c r="B34" t="s">
        <v>131</v>
      </c>
      <c r="E34" s="4"/>
      <c r="F34" s="16" t="b">
        <v>0</v>
      </c>
      <c r="G34" s="15">
        <f t="shared" si="2"/>
        <v>0</v>
      </c>
      <c r="H34" s="15"/>
      <c r="I34" s="15"/>
      <c r="J34" s="15"/>
      <c r="K34" s="15"/>
      <c r="L34" s="15"/>
      <c r="M34" s="15">
        <v>413</v>
      </c>
      <c r="N34" s="15">
        <f>IF(AND(G5=1,G6=1,G8=1,G10=1,G21=1,J22=2,G44=1,G12=1,G27=1,G22=1),M34,0)</f>
        <v>0</v>
      </c>
      <c r="O34" t="s">
        <v>73</v>
      </c>
    </row>
    <row r="35" spans="1:15" x14ac:dyDescent="0.25">
      <c r="A35" s="1"/>
      <c r="B35" t="s">
        <v>132</v>
      </c>
      <c r="E35" s="4"/>
      <c r="F35" s="16" t="b">
        <v>0</v>
      </c>
      <c r="G35" s="15">
        <f t="shared" si="2"/>
        <v>0</v>
      </c>
      <c r="H35" s="15"/>
      <c r="I35" s="15"/>
      <c r="J35" s="15"/>
      <c r="K35" s="15"/>
      <c r="L35" s="15"/>
      <c r="M35" s="15">
        <v>414</v>
      </c>
      <c r="N35" s="15">
        <f>IF(AND(G5=1,G6=1,G8=1,G10=1,G21=1,J22=2,G44=1,G12=1,G27=1,G22=1,G28=1),M35,0)</f>
        <v>0</v>
      </c>
      <c r="O35" t="s">
        <v>74</v>
      </c>
    </row>
    <row r="36" spans="1:15" x14ac:dyDescent="0.25">
      <c r="A36" s="1"/>
      <c r="B36" t="s">
        <v>26</v>
      </c>
      <c r="E36" s="4"/>
      <c r="F36" s="16" t="b">
        <v>0</v>
      </c>
      <c r="G36" s="15">
        <f t="shared" si="2"/>
        <v>0</v>
      </c>
      <c r="H36" s="15"/>
      <c r="I36" s="15"/>
      <c r="J36" s="15"/>
      <c r="K36" s="15"/>
      <c r="L36" s="15"/>
      <c r="M36" s="15">
        <v>415</v>
      </c>
      <c r="N36" s="15">
        <f>IF(AND(G5=1,G6=1,G8=1,G10=1,G21=1,J22=2,G44=1,G12=1,G27=1,G22=1,G29=1),M36,0)</f>
        <v>0</v>
      </c>
      <c r="O36" t="s">
        <v>75</v>
      </c>
    </row>
    <row r="37" spans="1:15" x14ac:dyDescent="0.25">
      <c r="A37" s="1"/>
      <c r="B37" t="s">
        <v>133</v>
      </c>
      <c r="E37" s="4"/>
      <c r="F37" s="16" t="b">
        <v>0</v>
      </c>
      <c r="G37" s="15">
        <f t="shared" si="2"/>
        <v>0</v>
      </c>
      <c r="H37" s="15"/>
      <c r="I37" s="15" t="s">
        <v>18</v>
      </c>
      <c r="J37" s="15" t="str">
        <f>IF(OR(G26=1,G38&gt;6),500,"není 500")</f>
        <v>není 500</v>
      </c>
      <c r="K37" s="15"/>
      <c r="L37" s="15"/>
      <c r="M37" s="15">
        <v>416</v>
      </c>
      <c r="N37" s="15">
        <f>IF(AND(G5=1,G6=1,G8=1,G10=1,G17=1,G21=1,G22=1,J22=2,G44=1,J54="EKVI"),M37,0)</f>
        <v>0</v>
      </c>
      <c r="O37" t="s">
        <v>76</v>
      </c>
    </row>
    <row r="38" spans="1:15" x14ac:dyDescent="0.25">
      <c r="A38" s="1"/>
      <c r="E38" s="4"/>
      <c r="F38" s="16" t="s">
        <v>14</v>
      </c>
      <c r="G38" s="17">
        <f>SUM(G21:G37)</f>
        <v>0</v>
      </c>
      <c r="H38" s="15"/>
      <c r="I38" s="15" t="s">
        <v>19</v>
      </c>
      <c r="J38" s="15" t="str">
        <f>IF(OR(G22=1,G28=1,G38&gt;2),400,"není 500 a 400")</f>
        <v>není 500 a 400</v>
      </c>
      <c r="K38" s="15"/>
      <c r="L38" s="15"/>
      <c r="M38" s="15">
        <v>417</v>
      </c>
      <c r="N38" s="15">
        <f>IF(AND(G5=1,G6=1,G8=1,G10=1,G17=1,G21=1,G22=1,J22=2,G44=1,J54="EKVI",G28=1),M38,0)</f>
        <v>0</v>
      </c>
      <c r="O38" t="s">
        <v>77</v>
      </c>
    </row>
    <row r="39" spans="1:15" x14ac:dyDescent="0.25">
      <c r="A39" s="1"/>
      <c r="E39" s="4"/>
      <c r="F39" s="16" t="s">
        <v>15</v>
      </c>
      <c r="G39" s="15">
        <f>IF(OR(G26=1,G38&gt;6),500,IF(OR(G22=1,G28=1,G38&gt;2),400,IF(G27=1,300,250)))</f>
        <v>250</v>
      </c>
      <c r="H39" s="15"/>
      <c r="I39" s="15" t="s">
        <v>20</v>
      </c>
      <c r="J39" s="15" t="str">
        <f>IF(G27=1,300,"není 500 a 400 a 300")</f>
        <v>není 500 a 400 a 300</v>
      </c>
      <c r="K39" s="15"/>
      <c r="L39" s="15"/>
      <c r="M39" s="15">
        <v>418</v>
      </c>
      <c r="N39" s="15">
        <f>IF(AND(G5=1,G6=1,G8=1,G10=1,G17=1,G21=1,G22=1,J22=2,G44=1,J54="EKVI",G29=1),M39,0)</f>
        <v>0</v>
      </c>
      <c r="O39" t="s">
        <v>78</v>
      </c>
    </row>
    <row r="40" spans="1:15" x14ac:dyDescent="0.25">
      <c r="A40" s="31" t="s">
        <v>28</v>
      </c>
      <c r="B40" s="32"/>
      <c r="C40" s="32"/>
      <c r="D40" s="32"/>
      <c r="E40" s="33"/>
      <c r="F40" s="16"/>
      <c r="G40" s="15"/>
      <c r="H40" s="15"/>
      <c r="I40" s="15"/>
      <c r="J40" s="15"/>
      <c r="K40" s="15"/>
      <c r="L40" s="15"/>
      <c r="M40" s="15">
        <v>501</v>
      </c>
      <c r="N40" s="15">
        <f>IF(AND(G5=1,G6=1,G7=1,G8=1,G10=1,G21=1,J22=1,G44=1,G12=1,G27=1,G22=1,J54="STAT"),M40,0)</f>
        <v>0</v>
      </c>
      <c r="O40" t="s">
        <v>79</v>
      </c>
    </row>
    <row r="41" spans="1:15" x14ac:dyDescent="0.25">
      <c r="A41" s="2"/>
      <c r="B41" t="s">
        <v>134</v>
      </c>
      <c r="E41" s="4"/>
      <c r="F41" s="16"/>
      <c r="G41" s="15">
        <v>1</v>
      </c>
      <c r="H41" s="15"/>
      <c r="I41" s="15"/>
      <c r="J41" s="15"/>
      <c r="K41" s="15"/>
      <c r="L41" s="15"/>
      <c r="M41" s="15">
        <v>502</v>
      </c>
      <c r="N41" s="15">
        <f>IF(AND(G5=1,G6=1,G7=1,G8=1,G10=1,G21=1,J22=1,G44=1,G12=1,G27=1,G22=1,J54="STAT",G28=1),M41,0)</f>
        <v>0</v>
      </c>
      <c r="O41" t="s">
        <v>80</v>
      </c>
    </row>
    <row r="42" spans="1:15" x14ac:dyDescent="0.25">
      <c r="A42" s="9"/>
      <c r="B42" t="s">
        <v>29</v>
      </c>
      <c r="E42" s="4"/>
      <c r="F42" s="16" t="b">
        <v>0</v>
      </c>
      <c r="G42" s="15">
        <f>IF(F42=TRUE,1,0)</f>
        <v>0</v>
      </c>
      <c r="H42" s="15"/>
      <c r="I42" s="15"/>
      <c r="J42" s="15"/>
      <c r="K42" s="15"/>
      <c r="L42" s="15"/>
      <c r="M42" s="15">
        <v>503</v>
      </c>
      <c r="N42" s="15">
        <f>IF(AND(G5=1,G6=1,G7=1,G8=1,G10=1,G21=1,J22=1,G44=1,G12=1,G27=1,G22=1,J54="STAT",G29=1),M42,0)</f>
        <v>0</v>
      </c>
      <c r="O42" t="s">
        <v>81</v>
      </c>
    </row>
    <row r="43" spans="1:15" x14ac:dyDescent="0.25">
      <c r="A43" s="9"/>
      <c r="B43" t="s">
        <v>30</v>
      </c>
      <c r="E43" s="4"/>
      <c r="F43" s="16" t="b">
        <v>0</v>
      </c>
      <c r="G43" s="15">
        <f t="shared" ref="G43:G49" si="3">IF(F43=TRUE,1,0)</f>
        <v>0</v>
      </c>
      <c r="H43" s="15"/>
      <c r="I43" s="15"/>
      <c r="J43" s="15"/>
      <c r="K43" s="15"/>
      <c r="L43" s="15"/>
      <c r="M43" s="15">
        <v>504</v>
      </c>
      <c r="N43" s="15">
        <f>IF(AND(G5=1,G6=1,G7=1,G8=1,G10=1,G17=1,G21=1,G22=1,J22=1,G44=1,J54="EKVI"),M43,0)</f>
        <v>0</v>
      </c>
      <c r="O43" t="s">
        <v>82</v>
      </c>
    </row>
    <row r="44" spans="1:15" x14ac:dyDescent="0.25">
      <c r="A44" s="9"/>
      <c r="B44" t="s">
        <v>31</v>
      </c>
      <c r="E44" s="4"/>
      <c r="F44" s="16" t="b">
        <v>0</v>
      </c>
      <c r="G44" s="15">
        <f t="shared" si="3"/>
        <v>0</v>
      </c>
      <c r="H44" s="15"/>
      <c r="I44" s="15"/>
      <c r="J44" s="15"/>
      <c r="K44" s="15"/>
      <c r="L44" s="15"/>
      <c r="M44" s="15">
        <v>505</v>
      </c>
      <c r="N44" s="15">
        <f>IF(AND(G5=1,G6=1,G7=1,G8=1,G10=1,G17=1,G21=1,G22=1,J22=1,G44=1,J54="EKVI",G28=1),M44,0)</f>
        <v>0</v>
      </c>
      <c r="O44" t="s">
        <v>83</v>
      </c>
    </row>
    <row r="45" spans="1:15" x14ac:dyDescent="0.25">
      <c r="A45" s="9"/>
      <c r="B45" t="s">
        <v>32</v>
      </c>
      <c r="E45" s="4"/>
      <c r="F45" s="16" t="b">
        <v>0</v>
      </c>
      <c r="G45" s="15">
        <f t="shared" si="3"/>
        <v>0</v>
      </c>
      <c r="H45" s="15"/>
      <c r="I45" s="15"/>
      <c r="J45" s="15"/>
      <c r="K45" s="15"/>
      <c r="L45" s="15"/>
      <c r="M45" s="15">
        <v>506</v>
      </c>
      <c r="N45" s="15">
        <f>IF(AND(G5=1,G6=1,G7=1,G8=1,G10=1,G17=1,G21=1,G22=1,J22=1,G44=1,J54="EKVI",G29=1),M45,0)</f>
        <v>0</v>
      </c>
      <c r="O45" t="s">
        <v>84</v>
      </c>
    </row>
    <row r="46" spans="1:15" x14ac:dyDescent="0.25">
      <c r="A46" s="1"/>
      <c r="B46" s="5" t="s">
        <v>27</v>
      </c>
      <c r="E46" s="4"/>
      <c r="F46" s="16"/>
      <c r="G46" s="15">
        <f t="shared" si="3"/>
        <v>0</v>
      </c>
      <c r="H46" s="15"/>
      <c r="I46" s="15"/>
      <c r="J46" s="15"/>
      <c r="K46" s="15"/>
      <c r="L46" s="15"/>
      <c r="M46" s="15">
        <v>507</v>
      </c>
      <c r="N46" s="15">
        <f>IF(AND(G5=1,G6=1,G7=1,G8=1,G10=1,G12=1,G17=1,G21=1,G22=1,G27=1,J22=1,G44=1,J54="EKVI"),M46,0)</f>
        <v>0</v>
      </c>
      <c r="O46" t="s">
        <v>85</v>
      </c>
    </row>
    <row r="47" spans="1:15" x14ac:dyDescent="0.25">
      <c r="A47" s="1"/>
      <c r="B47" t="s">
        <v>131</v>
      </c>
      <c r="E47" s="4"/>
      <c r="F47" s="16" t="b">
        <v>0</v>
      </c>
      <c r="G47" s="15">
        <f t="shared" si="3"/>
        <v>0</v>
      </c>
      <c r="H47" s="15"/>
      <c r="I47" s="15" t="s">
        <v>18</v>
      </c>
      <c r="J47" s="15" t="str">
        <f>IF(OR(G45=1,G50&gt;3),500,"není 500")</f>
        <v>není 500</v>
      </c>
      <c r="K47" s="15"/>
      <c r="L47" s="15"/>
      <c r="M47" s="15">
        <v>508</v>
      </c>
      <c r="N47" s="15">
        <f>IF(AND(G5=1,G6=1,G7=1,G8=1,G10=1,G12=1,G17=1,G21=1,G22=1,G27=1,G28=1,J22=1,G44=1,J54="EKVI"),M47,0)</f>
        <v>0</v>
      </c>
      <c r="O47" t="s">
        <v>86</v>
      </c>
    </row>
    <row r="48" spans="1:15" x14ac:dyDescent="0.25">
      <c r="A48" s="1"/>
      <c r="B48" t="s">
        <v>132</v>
      </c>
      <c r="E48" s="4"/>
      <c r="F48" s="16" t="b">
        <v>0</v>
      </c>
      <c r="G48" s="15">
        <f t="shared" si="3"/>
        <v>0</v>
      </c>
      <c r="H48" s="15"/>
      <c r="I48" s="15" t="s">
        <v>19</v>
      </c>
      <c r="J48" s="15" t="str">
        <f>IF(G44=1,400,"není 500 a 400")</f>
        <v>není 500 a 400</v>
      </c>
      <c r="K48" s="15"/>
      <c r="L48" s="15"/>
      <c r="M48" s="15">
        <v>509</v>
      </c>
      <c r="N48" s="15">
        <f>IF(AND(G5=1,G6=1,G7=1,G8=1,G10=1,G12=1,G17=1,G21=1,G22=1,G27=1,G29=1,J22=1,G44=1,J54="EKVI"),M48,0)</f>
        <v>0</v>
      </c>
      <c r="O48" t="s">
        <v>87</v>
      </c>
    </row>
    <row r="49" spans="1:15" x14ac:dyDescent="0.25">
      <c r="A49" s="1"/>
      <c r="B49" t="s">
        <v>33</v>
      </c>
      <c r="E49" s="4"/>
      <c r="F49" s="16" t="b">
        <v>0</v>
      </c>
      <c r="G49" s="15">
        <f t="shared" si="3"/>
        <v>0</v>
      </c>
      <c r="H49" s="15"/>
      <c r="I49" s="15" t="s">
        <v>20</v>
      </c>
      <c r="J49" s="15" t="str">
        <f>IF(OR(G43=1,G50&gt;2),300,"není 500 a 400 a 300")</f>
        <v>není 500 a 400 a 300</v>
      </c>
      <c r="K49" s="15"/>
      <c r="L49" s="15"/>
      <c r="M49" s="15">
        <v>510</v>
      </c>
      <c r="N49" s="15">
        <f>IF(AND(G5=1,G6=1,G7=1,G8=1,G10=1,G21=1,J22=2,G44=1,G12=1,G27=1,G22=1,J54="STAT"),M49,0)</f>
        <v>0</v>
      </c>
      <c r="O49" t="s">
        <v>88</v>
      </c>
    </row>
    <row r="50" spans="1:15" x14ac:dyDescent="0.25">
      <c r="A50" s="1"/>
      <c r="E50" s="4"/>
      <c r="F50" s="16" t="s">
        <v>14</v>
      </c>
      <c r="G50" s="17">
        <f>SUM(G41:G49)</f>
        <v>1</v>
      </c>
      <c r="H50" s="15"/>
      <c r="I50" s="15"/>
      <c r="J50" s="15"/>
      <c r="K50" s="15"/>
      <c r="L50" s="15"/>
      <c r="M50" s="15">
        <v>511</v>
      </c>
      <c r="N50" s="15">
        <f>IF(AND(G5=1,G6=1,G7=1,G8=1,G10=1,G21=1,J22=2,G44=1,G12=1,G27=1,G22=1,J54="STAT",G28=1),M50,0)</f>
        <v>0</v>
      </c>
      <c r="O50" t="s">
        <v>89</v>
      </c>
    </row>
    <row r="51" spans="1:15" x14ac:dyDescent="0.25">
      <c r="A51" s="1"/>
      <c r="E51" s="4"/>
      <c r="F51" s="16" t="s">
        <v>15</v>
      </c>
      <c r="G51" s="15">
        <f>IF(OR(G45=1,G50&gt;3),500,IF(G44=1,400,IF(OR(G43=1,G50&gt;2),300,250)))</f>
        <v>250</v>
      </c>
      <c r="H51" s="15"/>
      <c r="I51" s="15"/>
      <c r="J51" s="15"/>
      <c r="K51" s="15"/>
      <c r="L51" s="15"/>
      <c r="M51" s="15">
        <v>512</v>
      </c>
      <c r="N51" s="15">
        <f>IF(AND(G5=1,G6=1,G7=1,G8=1,G10=1,G21=1,J22=2,G44=1,G12=1,G27=1,G22=1,J54="STAT",G29=1),M51,0)</f>
        <v>0</v>
      </c>
      <c r="O51" t="s">
        <v>90</v>
      </c>
    </row>
    <row r="52" spans="1:15" x14ac:dyDescent="0.25">
      <c r="A52" s="34" t="s">
        <v>34</v>
      </c>
      <c r="B52" s="35"/>
      <c r="C52" s="35"/>
      <c r="D52" s="35"/>
      <c r="E52" s="36"/>
      <c r="F52" s="16"/>
      <c r="G52" s="15"/>
      <c r="H52" s="15"/>
      <c r="I52" s="15"/>
      <c r="J52" s="15"/>
      <c r="K52" s="15"/>
      <c r="L52" s="15"/>
      <c r="M52" s="15">
        <v>513</v>
      </c>
      <c r="N52" s="15">
        <f>IF(AND(G5=1,G6=1,G7=1,G8=1,G10=1,G17=1,G21=1,G22=1,J22=2,G44=1,J54="EKVI"),M52,0)</f>
        <v>0</v>
      </c>
      <c r="O52" t="s">
        <v>91</v>
      </c>
    </row>
    <row r="53" spans="1:15" x14ac:dyDescent="0.25">
      <c r="A53" s="8"/>
      <c r="B53" s="6" t="s">
        <v>35</v>
      </c>
      <c r="C53" s="6"/>
      <c r="D53" s="6"/>
      <c r="E53" s="7"/>
      <c r="F53" s="16">
        <v>3</v>
      </c>
      <c r="G53" s="15"/>
      <c r="H53" s="15"/>
      <c r="I53" s="15"/>
      <c r="J53" s="15"/>
      <c r="K53" s="15"/>
      <c r="L53" s="15"/>
      <c r="M53" s="15">
        <v>514</v>
      </c>
      <c r="N53" s="15">
        <f>IF(AND(G5=1,G6=1,G7=1,G8=1,G10=1,G17=1,G21=1,G22=1,J22=2,G44=1,J54="EKVI",G28=1),M53,0)</f>
        <v>0</v>
      </c>
      <c r="O53" t="s">
        <v>92</v>
      </c>
    </row>
    <row r="54" spans="1:15" x14ac:dyDescent="0.25">
      <c r="A54" s="8"/>
      <c r="B54" s="6" t="s">
        <v>36</v>
      </c>
      <c r="C54" s="6"/>
      <c r="D54" s="6"/>
      <c r="E54" s="7"/>
      <c r="F54" s="16"/>
      <c r="G54" s="15"/>
      <c r="H54" s="15"/>
      <c r="I54" s="15" t="s">
        <v>37</v>
      </c>
      <c r="J54" s="15" t="str">
        <f>IF(F53=1,"STAT",IF(F53=2,"EKVI","NIC"))</f>
        <v>NIC</v>
      </c>
      <c r="K54" s="15"/>
      <c r="L54" s="15"/>
      <c r="M54" s="15">
        <v>515</v>
      </c>
      <c r="N54" s="15">
        <f>IF(AND(G5=1,G6=1,G7=1,G8=1,G10=1,G17=1,G21=1,G22=1,J22=2,G44=1,J54="EKVI",G29=1),M54,0)</f>
        <v>0</v>
      </c>
      <c r="O54" t="s">
        <v>93</v>
      </c>
    </row>
    <row r="55" spans="1:15" x14ac:dyDescent="0.25">
      <c r="A55" s="8"/>
      <c r="B55" s="6" t="s">
        <v>38</v>
      </c>
      <c r="C55" s="6"/>
      <c r="D55" s="6"/>
      <c r="E55" s="7"/>
      <c r="F55" s="16"/>
      <c r="G55" s="15"/>
      <c r="H55" s="15"/>
      <c r="I55" s="15"/>
      <c r="J55" s="15"/>
      <c r="K55" s="15"/>
      <c r="L55" s="15"/>
      <c r="M55" s="15">
        <v>516</v>
      </c>
      <c r="N55" s="15">
        <f>IF(AND(G5=1,G6=1,G7=1,G8=1,G10=1,G12=1,G17=1,G21=1,G22=1,G27=1,J22=2,G44=1,J54="EKVI"),M55,0)</f>
        <v>0</v>
      </c>
      <c r="O55" t="s">
        <v>94</v>
      </c>
    </row>
    <row r="56" spans="1:15" x14ac:dyDescent="0.25">
      <c r="A56" s="1"/>
      <c r="E56" s="4"/>
      <c r="F56" s="16"/>
      <c r="G56" s="15"/>
      <c r="H56" s="15"/>
      <c r="I56" s="15"/>
      <c r="J56" s="15"/>
      <c r="K56" s="15"/>
      <c r="L56" s="15"/>
      <c r="M56" s="15">
        <v>517</v>
      </c>
      <c r="N56" s="15">
        <f>IF(AND(G5=1,G6=1,G7=1,G8=1,G10=1,G12=1,G17=1,G21=1,G22=1,G27=1,G28=1,J22=2,G44=1,J54="EKVI"),M56,0)</f>
        <v>0</v>
      </c>
      <c r="O56" t="s">
        <v>95</v>
      </c>
    </row>
    <row r="57" spans="1:15" ht="15.75" thickBot="1" x14ac:dyDescent="0.3">
      <c r="A57" s="40" t="s">
        <v>121</v>
      </c>
      <c r="B57" s="41"/>
      <c r="C57" s="41"/>
      <c r="D57" s="41"/>
      <c r="E57" s="42"/>
      <c r="F57" s="16"/>
      <c r="G57" s="15"/>
      <c r="H57" s="15"/>
      <c r="I57" s="15"/>
      <c r="J57" s="15"/>
      <c r="K57" s="15"/>
      <c r="L57" s="15"/>
      <c r="M57" s="15">
        <v>518</v>
      </c>
      <c r="N57" s="15">
        <f>IF(AND(G5=1,G6=1,G7=1,G8=1,G10=1,G12=1,G17=1,G21=1,G22=1,G27=1,G29=1,J22=2,G44=1,J54="EKVI"),M57,0)</f>
        <v>0</v>
      </c>
      <c r="O57" t="s">
        <v>96</v>
      </c>
    </row>
    <row r="58" spans="1:15" x14ac:dyDescent="0.25">
      <c r="A58" s="1"/>
      <c r="B58" s="11" t="s">
        <v>39</v>
      </c>
      <c r="C58" s="12" t="str">
        <f>"TimNet "&amp; MAX(G51,G39,G19)</f>
        <v>TimNet 250</v>
      </c>
      <c r="D58" s="13"/>
      <c r="E58" s="4"/>
      <c r="F58" s="16"/>
      <c r="G58" s="15"/>
      <c r="H58" s="15"/>
      <c r="I58" s="15" t="s">
        <v>119</v>
      </c>
      <c r="J58" s="15">
        <f>MAX(N2:N69)</f>
        <v>0</v>
      </c>
      <c r="K58" s="15"/>
      <c r="L58" s="15"/>
      <c r="M58" s="15">
        <v>519</v>
      </c>
      <c r="N58" s="15">
        <f>IF(AND(G5=1,G6=1,G7=1,G8=1,G9=1,G10=1,G11=1,G21=1,G22=1,J22=3,G26=1,G44=1,G45=1,J54="STAT"),M58,0)</f>
        <v>0</v>
      </c>
      <c r="O58" t="s">
        <v>97</v>
      </c>
    </row>
    <row r="59" spans="1:15" x14ac:dyDescent="0.25">
      <c r="A59" s="1"/>
      <c r="B59" s="14" t="s">
        <v>110</v>
      </c>
      <c r="C59" s="21" t="str">
        <f>IF(J58&gt;0,J58,"---")</f>
        <v>---</v>
      </c>
      <c r="D59" s="28" t="str">
        <f>IF(J58&gt;0,VLOOKUP(C59,N2:O70,2,FALSE),"Chybně zadány vstupní data")</f>
        <v>Chybně zadány vstupní data</v>
      </c>
      <c r="E59" s="4"/>
      <c r="F59" s="18"/>
      <c r="G59" s="15"/>
      <c r="H59" s="15"/>
      <c r="I59" s="15" t="s">
        <v>122</v>
      </c>
      <c r="J59" s="15">
        <f>IF(MAX(G51,G39,G19)=500,MAX(N40:N69),IF(MAX(G51,G39,G19)=400,MAX(N22:N39),IF(MAX(G51,G39,G19)=300,MAX(N8:N21),IF(MAX(G51,G39,G19)=250,MAX(N2:N7),""))))</f>
        <v>0</v>
      </c>
      <c r="K59" s="15"/>
      <c r="L59" s="15"/>
      <c r="M59" s="15">
        <v>520</v>
      </c>
      <c r="N59" s="15">
        <f>IF(AND(G5=1,G6=1,G7=1,G8=1,G9=1,G10=1,G11=1,G21=1,G22=1,J22=3,G26=1,G44=1,G45=1,J54="STAT",G28=1),M59,0)</f>
        <v>0</v>
      </c>
      <c r="O59" t="s">
        <v>98</v>
      </c>
    </row>
    <row r="60" spans="1:15" x14ac:dyDescent="0.25">
      <c r="A60" s="1"/>
      <c r="B60" s="14"/>
      <c r="C60" s="21"/>
      <c r="D60" s="28"/>
      <c r="E60" s="4"/>
      <c r="F60" s="16"/>
      <c r="G60" s="15"/>
      <c r="H60" s="15"/>
      <c r="I60" s="15"/>
      <c r="J60" s="15"/>
      <c r="K60" s="15"/>
      <c r="L60" s="15"/>
      <c r="M60" s="15">
        <v>521</v>
      </c>
      <c r="N60" s="15">
        <f>IF(AND(G5=1,G6=1,G7=1,G8=1,G9=1,G10=1,G11=1,G21=1,G22=1,J22=3,G26=1,G44=1,G45=1,J54="STAT",G29=1),M60,0)</f>
        <v>0</v>
      </c>
      <c r="O60" t="s">
        <v>99</v>
      </c>
    </row>
    <row r="61" spans="1:15" ht="15.75" thickBot="1" x14ac:dyDescent="0.3">
      <c r="B61" s="22" t="s">
        <v>136</v>
      </c>
      <c r="C61" s="23"/>
      <c r="D61" s="24" t="s">
        <v>135</v>
      </c>
      <c r="F61" s="16"/>
      <c r="G61" s="15"/>
      <c r="H61" s="15"/>
      <c r="I61" s="15"/>
      <c r="J61" s="15"/>
      <c r="K61" s="15"/>
      <c r="L61" s="15"/>
      <c r="M61" s="15">
        <v>522</v>
      </c>
      <c r="N61" s="15">
        <f>IF(AND(G5=1,G6=1,G7=1,G8=1,G9=1,G10=1,G11=1,G12=1,G21=1,G22=1,J22=3,G26=1,G27=1,G44=1,G45=1,J54="STAT"),M61,0)</f>
        <v>0</v>
      </c>
      <c r="O61" t="s">
        <v>100</v>
      </c>
    </row>
    <row r="62" spans="1:15" x14ac:dyDescent="0.25">
      <c r="F62" s="16"/>
      <c r="G62" s="15"/>
      <c r="H62" s="15"/>
      <c r="I62" s="15"/>
      <c r="J62" s="15"/>
      <c r="K62" s="15"/>
      <c r="L62" s="15"/>
      <c r="M62" s="15">
        <v>523</v>
      </c>
      <c r="N62" s="15">
        <f>IF(AND(G5=1,G6=1,G7=1,G8=1,G9=1,G10=1,G11=1,G12=1,G21=1,G22=1,J22=3,G26=1,G27=1,G28=1,G44=1,G45=1,J54="STAT"),M62,0)</f>
        <v>0</v>
      </c>
      <c r="O62" t="s">
        <v>101</v>
      </c>
    </row>
    <row r="63" spans="1:15" x14ac:dyDescent="0.25">
      <c r="A63" s="25" t="s">
        <v>125</v>
      </c>
      <c r="B63" s="26" t="s">
        <v>123</v>
      </c>
      <c r="C63" s="26"/>
      <c r="D63" s="26"/>
      <c r="E63" s="27"/>
      <c r="F63" s="16"/>
      <c r="G63" s="15"/>
      <c r="H63" s="15"/>
      <c r="I63" s="15"/>
      <c r="J63" s="15"/>
      <c r="K63" s="15"/>
      <c r="L63" s="15"/>
      <c r="M63" s="15">
        <v>524</v>
      </c>
      <c r="N63" s="15">
        <f>IF(AND(G5=1,G6=1,G7=1,G8=1,G9=1,G10=1,G11=1,G12=1,G21=1,G22=1,J22=3,G26=1,G27=1,G29=1,G44=1,G45=1,J54="STAT"),M63,0)</f>
        <v>0</v>
      </c>
      <c r="O63" t="s">
        <v>102</v>
      </c>
    </row>
    <row r="64" spans="1:15" x14ac:dyDescent="0.25">
      <c r="A64" s="10"/>
      <c r="B64" s="19" t="s">
        <v>124</v>
      </c>
      <c r="C64" s="19"/>
      <c r="D64" s="19"/>
      <c r="E64" s="20"/>
      <c r="F64" s="16"/>
      <c r="G64" s="15"/>
      <c r="H64" s="15"/>
      <c r="I64" s="15"/>
      <c r="J64" s="15"/>
      <c r="K64" s="15"/>
      <c r="L64" s="15"/>
      <c r="M64" s="15">
        <v>525</v>
      </c>
      <c r="N64" s="15">
        <f>IF(AND(G5=1,G6=1,G7=1,G8=1,G9=1,G10=1,G11=1,G17=1,G21=1,G22=1,J22=3,G26=1,G44=1,G45=1,J54="EKVI"),M64,0)</f>
        <v>0</v>
      </c>
      <c r="O64" t="s">
        <v>103</v>
      </c>
    </row>
    <row r="65" spans="6:15" hidden="1" x14ac:dyDescent="0.25">
      <c r="F65" s="16"/>
      <c r="G65" s="15"/>
      <c r="H65" s="15"/>
      <c r="I65" s="15"/>
      <c r="J65" s="15"/>
      <c r="K65" s="15"/>
      <c r="L65" s="15"/>
      <c r="M65" s="15">
        <v>526</v>
      </c>
      <c r="N65" s="15">
        <f>IF(AND(G5=1,G6=1,G7=1,G8=1,G9=1,G10=1,G11=1,G17=1,G21=1,G22=1,J22=3,G26=1,G28=1,G44=1,G45=1,J54="EKVI"),M65,0)</f>
        <v>0</v>
      </c>
      <c r="O65" t="s">
        <v>104</v>
      </c>
    </row>
    <row r="66" spans="6:15" hidden="1" x14ac:dyDescent="0.25">
      <c r="F66" s="16"/>
      <c r="G66" s="15"/>
      <c r="H66" s="15"/>
      <c r="I66" s="15"/>
      <c r="J66" s="15"/>
      <c r="K66" s="15"/>
      <c r="L66" s="15"/>
      <c r="M66" s="15">
        <v>527</v>
      </c>
      <c r="N66" s="15">
        <f>IF(AND(G5=1,G6=1,G7=1,G8=1,G9=1,G10=1,G11=1,G17=1,G21=1,G22=1,J22=3,G26=1,G29=1,G44=1,G45=1,J54="EKVI"),M66,0)</f>
        <v>0</v>
      </c>
      <c r="O66" t="s">
        <v>105</v>
      </c>
    </row>
    <row r="67" spans="6:15" hidden="1" x14ac:dyDescent="0.25">
      <c r="F67" s="16"/>
      <c r="G67" s="15"/>
      <c r="H67" s="15"/>
      <c r="I67" s="15"/>
      <c r="J67" s="15"/>
      <c r="K67" s="15"/>
      <c r="L67" s="15"/>
      <c r="M67" s="15">
        <v>528</v>
      </c>
      <c r="N67" s="15">
        <f>IF(AND(G5=1,G6=1,G7=1,G8=1,G9=1,G10=1,G11=1,G12=1,G17=1,G21=1,G22=1,J22=3,G26=1,G27=1,G44=1,G45=1,J54="EKVI"),M67,0)</f>
        <v>0</v>
      </c>
      <c r="O67" t="s">
        <v>106</v>
      </c>
    </row>
    <row r="68" spans="6:15" hidden="1" x14ac:dyDescent="0.25">
      <c r="F68" s="16"/>
      <c r="G68" s="15"/>
      <c r="H68" s="15"/>
      <c r="I68" s="15"/>
      <c r="J68" s="15"/>
      <c r="K68" s="15"/>
      <c r="L68" s="15"/>
      <c r="M68" s="15">
        <v>529</v>
      </c>
      <c r="N68" s="15">
        <f>IF(AND(G5=1,G6=1,G7=1,G8=1,G9=1,G10=1,G11=1,G12=1,G17=1,G21=1,G22=1,J22=3,G26=1,G27=1,G28=1,G44=1,G45=1,J54="EKVI"),M68,0)</f>
        <v>0</v>
      </c>
      <c r="O68" t="s">
        <v>107</v>
      </c>
    </row>
    <row r="69" spans="6:15" hidden="1" x14ac:dyDescent="0.25">
      <c r="F69" s="16"/>
      <c r="G69" s="15"/>
      <c r="H69" s="15"/>
      <c r="I69" s="15"/>
      <c r="J69" s="15"/>
      <c r="K69" s="15"/>
      <c r="L69" s="15"/>
      <c r="M69" s="15">
        <v>530</v>
      </c>
      <c r="N69" s="15">
        <f>IF(AND(G5=1,G6=1,G7=1,G8=1,G9=1,G10=1,G11=1,G12=1,G17=1,G21=1,G22=1,J22=3,G26=1,G27=1,G29=1,G44=1,G45=1,J54="EKVI"),M68,0)</f>
        <v>0</v>
      </c>
      <c r="O69" t="s">
        <v>108</v>
      </c>
    </row>
    <row r="70" spans="6:15" hidden="1" x14ac:dyDescent="0.25">
      <c r="M70" s="3"/>
      <c r="N70" s="3"/>
      <c r="O70" s="3"/>
    </row>
  </sheetData>
  <mergeCells count="10">
    <mergeCell ref="B63:E63"/>
    <mergeCell ref="D59:D60"/>
    <mergeCell ref="I1:K1"/>
    <mergeCell ref="F1:G1"/>
    <mergeCell ref="A2:E2"/>
    <mergeCell ref="A20:E20"/>
    <mergeCell ref="A40:E40"/>
    <mergeCell ref="A52:E52"/>
    <mergeCell ref="A1:E1"/>
    <mergeCell ref="A57:E57"/>
  </mergeCells>
  <phoneticPr fontId="1" type="noConversion"/>
  <hyperlinks>
    <hyperlink ref="D61" r:id="rId1" xr:uid="{AC2A55DB-61F2-433C-83B6-B8F7174C9A5B}"/>
  </hyperlinks>
  <pageMargins left="0.7" right="0.7" top="0.75" bottom="0.75" header="0.3" footer="0.3"/>
  <pageSetup paperSize="9" orientation="portrait" verticalDpi="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123825</xdr:colOff>
                    <xdr:row>2</xdr:row>
                    <xdr:rowOff>180975</xdr:rowOff>
                  </from>
                  <to>
                    <xdr:col>0</xdr:col>
                    <xdr:colOff>333375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0</xdr:col>
                    <xdr:colOff>123825</xdr:colOff>
                    <xdr:row>3</xdr:row>
                    <xdr:rowOff>180975</xdr:rowOff>
                  </from>
                  <to>
                    <xdr:col>0</xdr:col>
                    <xdr:colOff>333375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0</xdr:col>
                    <xdr:colOff>123825</xdr:colOff>
                    <xdr:row>4</xdr:row>
                    <xdr:rowOff>180975</xdr:rowOff>
                  </from>
                  <to>
                    <xdr:col>0</xdr:col>
                    <xdr:colOff>333375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0</xdr:col>
                    <xdr:colOff>123825</xdr:colOff>
                    <xdr:row>5</xdr:row>
                    <xdr:rowOff>180975</xdr:rowOff>
                  </from>
                  <to>
                    <xdr:col>0</xdr:col>
                    <xdr:colOff>333375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0</xdr:col>
                    <xdr:colOff>123825</xdr:colOff>
                    <xdr:row>6</xdr:row>
                    <xdr:rowOff>180975</xdr:rowOff>
                  </from>
                  <to>
                    <xdr:col>0</xdr:col>
                    <xdr:colOff>333375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0</xdr:col>
                    <xdr:colOff>123825</xdr:colOff>
                    <xdr:row>7</xdr:row>
                    <xdr:rowOff>180975</xdr:rowOff>
                  </from>
                  <to>
                    <xdr:col>0</xdr:col>
                    <xdr:colOff>333375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0</xdr:col>
                    <xdr:colOff>123825</xdr:colOff>
                    <xdr:row>8</xdr:row>
                    <xdr:rowOff>180975</xdr:rowOff>
                  </from>
                  <to>
                    <xdr:col>0</xdr:col>
                    <xdr:colOff>333375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0</xdr:col>
                    <xdr:colOff>123825</xdr:colOff>
                    <xdr:row>9</xdr:row>
                    <xdr:rowOff>180975</xdr:rowOff>
                  </from>
                  <to>
                    <xdr:col>0</xdr:col>
                    <xdr:colOff>333375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0</xdr:col>
                    <xdr:colOff>123825</xdr:colOff>
                    <xdr:row>10</xdr:row>
                    <xdr:rowOff>180975</xdr:rowOff>
                  </from>
                  <to>
                    <xdr:col>0</xdr:col>
                    <xdr:colOff>333375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0</xdr:col>
                    <xdr:colOff>123825</xdr:colOff>
                    <xdr:row>11</xdr:row>
                    <xdr:rowOff>180975</xdr:rowOff>
                  </from>
                  <to>
                    <xdr:col>0</xdr:col>
                    <xdr:colOff>333375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0</xdr:col>
                    <xdr:colOff>123825</xdr:colOff>
                    <xdr:row>12</xdr:row>
                    <xdr:rowOff>180975</xdr:rowOff>
                  </from>
                  <to>
                    <xdr:col>0</xdr:col>
                    <xdr:colOff>333375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0</xdr:col>
                    <xdr:colOff>123825</xdr:colOff>
                    <xdr:row>13</xdr:row>
                    <xdr:rowOff>180975</xdr:rowOff>
                  </from>
                  <to>
                    <xdr:col>0</xdr:col>
                    <xdr:colOff>333375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0</xdr:col>
                    <xdr:colOff>123825</xdr:colOff>
                    <xdr:row>14</xdr:row>
                    <xdr:rowOff>180975</xdr:rowOff>
                  </from>
                  <to>
                    <xdr:col>0</xdr:col>
                    <xdr:colOff>333375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0</xdr:col>
                    <xdr:colOff>123825</xdr:colOff>
                    <xdr:row>15</xdr:row>
                    <xdr:rowOff>180975</xdr:rowOff>
                  </from>
                  <to>
                    <xdr:col>0</xdr:col>
                    <xdr:colOff>333375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0</xdr:col>
                    <xdr:colOff>123825</xdr:colOff>
                    <xdr:row>19</xdr:row>
                    <xdr:rowOff>180975</xdr:rowOff>
                  </from>
                  <to>
                    <xdr:col>0</xdr:col>
                    <xdr:colOff>333375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0</xdr:col>
                    <xdr:colOff>123825</xdr:colOff>
                    <xdr:row>20</xdr:row>
                    <xdr:rowOff>180975</xdr:rowOff>
                  </from>
                  <to>
                    <xdr:col>0</xdr:col>
                    <xdr:colOff>333375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0</xdr:col>
                    <xdr:colOff>123825</xdr:colOff>
                    <xdr:row>24</xdr:row>
                    <xdr:rowOff>171450</xdr:rowOff>
                  </from>
                  <to>
                    <xdr:col>0</xdr:col>
                    <xdr:colOff>333375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0</xdr:col>
                    <xdr:colOff>123825</xdr:colOff>
                    <xdr:row>25</xdr:row>
                    <xdr:rowOff>180975</xdr:rowOff>
                  </from>
                  <to>
                    <xdr:col>0</xdr:col>
                    <xdr:colOff>333375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0</xdr:col>
                    <xdr:colOff>123825</xdr:colOff>
                    <xdr:row>26</xdr:row>
                    <xdr:rowOff>180975</xdr:rowOff>
                  </from>
                  <to>
                    <xdr:col>0</xdr:col>
                    <xdr:colOff>333375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0</xdr:col>
                    <xdr:colOff>123825</xdr:colOff>
                    <xdr:row>27</xdr:row>
                    <xdr:rowOff>180975</xdr:rowOff>
                  </from>
                  <to>
                    <xdr:col>0</xdr:col>
                    <xdr:colOff>333375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0</xdr:col>
                    <xdr:colOff>123825</xdr:colOff>
                    <xdr:row>29</xdr:row>
                    <xdr:rowOff>180975</xdr:rowOff>
                  </from>
                  <to>
                    <xdr:col>0</xdr:col>
                    <xdr:colOff>333375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0</xdr:col>
                    <xdr:colOff>123825</xdr:colOff>
                    <xdr:row>30</xdr:row>
                    <xdr:rowOff>180975</xdr:rowOff>
                  </from>
                  <to>
                    <xdr:col>0</xdr:col>
                    <xdr:colOff>333375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0</xdr:col>
                    <xdr:colOff>123825</xdr:colOff>
                    <xdr:row>31</xdr:row>
                    <xdr:rowOff>180975</xdr:rowOff>
                  </from>
                  <to>
                    <xdr:col>0</xdr:col>
                    <xdr:colOff>333375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0</xdr:col>
                    <xdr:colOff>123825</xdr:colOff>
                    <xdr:row>32</xdr:row>
                    <xdr:rowOff>180975</xdr:rowOff>
                  </from>
                  <to>
                    <xdr:col>0</xdr:col>
                    <xdr:colOff>333375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0</xdr:col>
                    <xdr:colOff>123825</xdr:colOff>
                    <xdr:row>33</xdr:row>
                    <xdr:rowOff>180975</xdr:rowOff>
                  </from>
                  <to>
                    <xdr:col>0</xdr:col>
                    <xdr:colOff>333375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0</xdr:col>
                    <xdr:colOff>123825</xdr:colOff>
                    <xdr:row>34</xdr:row>
                    <xdr:rowOff>180975</xdr:rowOff>
                  </from>
                  <to>
                    <xdr:col>0</xdr:col>
                    <xdr:colOff>333375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0</xdr:col>
                    <xdr:colOff>123825</xdr:colOff>
                    <xdr:row>35</xdr:row>
                    <xdr:rowOff>180975</xdr:rowOff>
                  </from>
                  <to>
                    <xdr:col>0</xdr:col>
                    <xdr:colOff>333375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0</xdr:col>
                    <xdr:colOff>123825</xdr:colOff>
                    <xdr:row>40</xdr:row>
                    <xdr:rowOff>180975</xdr:rowOff>
                  </from>
                  <to>
                    <xdr:col>0</xdr:col>
                    <xdr:colOff>333375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0</xdr:col>
                    <xdr:colOff>123825</xdr:colOff>
                    <xdr:row>41</xdr:row>
                    <xdr:rowOff>180975</xdr:rowOff>
                  </from>
                  <to>
                    <xdr:col>0</xdr:col>
                    <xdr:colOff>333375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0</xdr:col>
                    <xdr:colOff>123825</xdr:colOff>
                    <xdr:row>42</xdr:row>
                    <xdr:rowOff>180975</xdr:rowOff>
                  </from>
                  <to>
                    <xdr:col>0</xdr:col>
                    <xdr:colOff>333375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0</xdr:col>
                    <xdr:colOff>123825</xdr:colOff>
                    <xdr:row>43</xdr:row>
                    <xdr:rowOff>180975</xdr:rowOff>
                  </from>
                  <to>
                    <xdr:col>0</xdr:col>
                    <xdr:colOff>333375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0</xdr:col>
                    <xdr:colOff>123825</xdr:colOff>
                    <xdr:row>45</xdr:row>
                    <xdr:rowOff>180975</xdr:rowOff>
                  </from>
                  <to>
                    <xdr:col>0</xdr:col>
                    <xdr:colOff>333375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0</xdr:col>
                    <xdr:colOff>123825</xdr:colOff>
                    <xdr:row>46</xdr:row>
                    <xdr:rowOff>180975</xdr:rowOff>
                  </from>
                  <to>
                    <xdr:col>0</xdr:col>
                    <xdr:colOff>333375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0</xdr:col>
                    <xdr:colOff>123825</xdr:colOff>
                    <xdr:row>47</xdr:row>
                    <xdr:rowOff>180975</xdr:rowOff>
                  </from>
                  <to>
                    <xdr:col>0</xdr:col>
                    <xdr:colOff>333375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Group Box 44">
              <controlPr defaultSize="0" print="0" autoFill="0" autoPict="0">
                <anchor moveWithCells="1">
                  <from>
                    <xdr:col>1</xdr:col>
                    <xdr:colOff>9525</xdr:colOff>
                    <xdr:row>22</xdr:row>
                    <xdr:rowOff>9525</xdr:rowOff>
                  </from>
                  <to>
                    <xdr:col>4</xdr:col>
                    <xdr:colOff>600075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0" name="Group Box 48">
              <controlPr defaultSize="0" print="0" autoFill="0" autoPict="0">
                <anchor moveWithCells="1">
                  <from>
                    <xdr:col>0</xdr:col>
                    <xdr:colOff>0</xdr:colOff>
                    <xdr:row>52</xdr:row>
                    <xdr:rowOff>9525</xdr:rowOff>
                  </from>
                  <to>
                    <xdr:col>4</xdr:col>
                    <xdr:colOff>600075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1" name="Option Button 50">
              <controlPr defaultSize="0" autoFill="0" autoLine="0" autoPict="0">
                <anchor moveWithCells="1">
                  <from>
                    <xdr:col>1</xdr:col>
                    <xdr:colOff>533400</xdr:colOff>
                    <xdr:row>22</xdr:row>
                    <xdr:rowOff>9525</xdr:rowOff>
                  </from>
                  <to>
                    <xdr:col>1</xdr:col>
                    <xdr:colOff>762000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2" name="Option Button 53">
              <controlPr defaultSize="0" autoFill="0" autoLine="0" autoPict="0">
                <anchor moveWithCells="1">
                  <from>
                    <xdr:col>1</xdr:col>
                    <xdr:colOff>533400</xdr:colOff>
                    <xdr:row>23</xdr:row>
                    <xdr:rowOff>9525</xdr:rowOff>
                  </from>
                  <to>
                    <xdr:col>1</xdr:col>
                    <xdr:colOff>762000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3" name="Option Button 54">
              <controlPr defaultSize="0" autoFill="0" autoLine="0" autoPict="0">
                <anchor moveWithCells="1">
                  <from>
                    <xdr:col>1</xdr:col>
                    <xdr:colOff>533400</xdr:colOff>
                    <xdr:row>24</xdr:row>
                    <xdr:rowOff>9525</xdr:rowOff>
                  </from>
                  <to>
                    <xdr:col>1</xdr:col>
                    <xdr:colOff>762000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4" name="Option Button 56">
              <controlPr defaultSize="0" autoFill="0" autoLine="0" autoPict="0">
                <anchor moveWithCells="1">
                  <from>
                    <xdr:col>0</xdr:col>
                    <xdr:colOff>161925</xdr:colOff>
                    <xdr:row>52</xdr:row>
                    <xdr:rowOff>19050</xdr:rowOff>
                  </from>
                  <to>
                    <xdr:col>0</xdr:col>
                    <xdr:colOff>371475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5" name="Option Button 59">
              <controlPr defaultSize="0" autoFill="0" autoLine="0" autoPict="0">
                <anchor moveWithCells="1">
                  <from>
                    <xdr:col>0</xdr:col>
                    <xdr:colOff>161925</xdr:colOff>
                    <xdr:row>53</xdr:row>
                    <xdr:rowOff>19050</xdr:rowOff>
                  </from>
                  <to>
                    <xdr:col>0</xdr:col>
                    <xdr:colOff>371475</xdr:colOff>
                    <xdr:row>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6" name="Option Button 60">
              <controlPr defaultSize="0" autoFill="0" autoLine="0" autoPict="0">
                <anchor moveWithCells="1">
                  <from>
                    <xdr:col>0</xdr:col>
                    <xdr:colOff>161925</xdr:colOff>
                    <xdr:row>54</xdr:row>
                    <xdr:rowOff>9525</xdr:rowOff>
                  </from>
                  <to>
                    <xdr:col>0</xdr:col>
                    <xdr:colOff>371475</xdr:colOff>
                    <xdr:row>54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vyber_systemu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 Dittrich</dc:creator>
  <cp:lastModifiedBy>Timpex s.r.o.</cp:lastModifiedBy>
  <cp:lastPrinted>2025-02-10T08:02:00Z</cp:lastPrinted>
  <dcterms:created xsi:type="dcterms:W3CDTF">2015-06-05T18:19:34Z</dcterms:created>
  <dcterms:modified xsi:type="dcterms:W3CDTF">2025-02-12T10:28:15Z</dcterms:modified>
</cp:coreProperties>
</file>